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5516" windowWidth="0" windowHeight="19080" tabRatio="492" activeTab="0"/>
  </bookViews>
  <sheets>
    <sheet name="Title Page" sheetId="1" r:id="rId1"/>
    <sheet name="P &amp; L by Year" sheetId="2" r:id="rId2"/>
    <sheet name="P &amp; L by Qtr" sheetId="3" r:id="rId3"/>
    <sheet name="Sales Plan" sheetId="4" r:id="rId4"/>
    <sheet name="COGS" sheetId="5" r:id="rId5"/>
    <sheet name="Staffing Plan" sheetId="6" r:id="rId6"/>
    <sheet name="Expenses" sheetId="7" r:id="rId7"/>
    <sheet name=" Capex and Cash Flow" sheetId="8" r:id="rId8"/>
  </sheets>
  <definedNames>
    <definedName name="HTML1_1" hidden="1">"'[mitforum.xls]Sales Plan'!$A$1"</definedName>
    <definedName name="HTML1_10" hidden="1">""</definedName>
    <definedName name="HTML1_11" hidden="1">1</definedName>
    <definedName name="HTML1_12" hidden="1">"MyHTML.htm"</definedName>
    <definedName name="HTML1_2" hidden="1">1</definedName>
    <definedName name="HTML1_3" hidden="1">"$50K Entrepreneurship Competition Sales Plan"</definedName>
    <definedName name="HTML1_4" hidden="1">"Sales Plan"</definedName>
    <definedName name="HTML1_5" hidden="1">"Sales Plan model authored by Charlie Tillett of Frontier Software"</definedName>
    <definedName name="HTML1_6" hidden="1">-4146</definedName>
    <definedName name="HTML1_7" hidden="1">-4146</definedName>
    <definedName name="HTML1_8" hidden="1">"4/4/97"</definedName>
    <definedName name="HTML1_9" hidden="1">"$50K Entrepreneurship Competition"</definedName>
    <definedName name="HTML2_1" hidden="1">"'[mitforum.xls]Sales Plan'!$A$1:$P$32"</definedName>
    <definedName name="HTML2_10" hidden="1">""</definedName>
    <definedName name="HTML2_11" hidden="1">1</definedName>
    <definedName name="HTML2_12" hidden="1">"C:\My Documents\salesplan.html"</definedName>
    <definedName name="HTML2_2" hidden="1">1</definedName>
    <definedName name="HTML2_3" hidden="1">"Sales Plan"</definedName>
    <definedName name="HTML2_4" hidden="1">"Sales Plan"</definedName>
    <definedName name="HTML2_5" hidden="1">"Sales Plan model by Charlie Tillett of Frontier Software
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"[mitforum.xls]Headcount!$A$1:$P$54"</definedName>
    <definedName name="HTML3_10" hidden="1">""</definedName>
    <definedName name="HTML3_11" hidden="1">1</definedName>
    <definedName name="HTML3_12" hidden="1">"C:\My Documents\HiringPlan.html"</definedName>
    <definedName name="HTML3_2" hidden="1">1</definedName>
    <definedName name="HTML3_3" hidden="1">"Hiring Plan"</definedName>
    <definedName name="HTML3_4" hidden="1">"Hiring Plan"</definedName>
    <definedName name="HTML3_5" hidden="1">"Sales Plan model by Charlie Tillett of Frontier Software
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"'[mitforum.xls]Other Expenses'!$A$1:$P$23"</definedName>
    <definedName name="HTML4_10" hidden="1">""</definedName>
    <definedName name="HTML4_11" hidden="1">1</definedName>
    <definedName name="HTML4_12" hidden="1">"C:\My Documents\NonSalary.html"</definedName>
    <definedName name="HTML4_2" hidden="1">1</definedName>
    <definedName name="HTML4_3" hidden="1">"Non-Salary Expenses"</definedName>
    <definedName name="HTML4_4" hidden="1">"Non-Salary Expenses"</definedName>
    <definedName name="HTML4_5" hidden="1">"Financial model by Charlie Tillett of Frontier Software (charlie@frontier.com)
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"'[mitforum.xls]Income Statement'!$A$1:$Q$19"</definedName>
    <definedName name="HTML5_10" hidden="1">""</definedName>
    <definedName name="HTML5_11" hidden="1">1</definedName>
    <definedName name="HTML5_12" hidden="1">"C:\My Documents\IncomeStat.html"</definedName>
    <definedName name="HTML5_2" hidden="1">1</definedName>
    <definedName name="HTML5_3" hidden="1">"Income Statement"</definedName>
    <definedName name="HTML5_4" hidden="1">"Income Statement"</definedName>
    <definedName name="HTML5_5" hidden="1">"Financial model by Charlie Tillett of Frontier Software (charlie@frontier.com)"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"'[mitforum.xls]Balance Sheet &amp; Cash Flow'!$A$1:$O$22"</definedName>
    <definedName name="HTML6_10" hidden="1">""</definedName>
    <definedName name="HTML6_11" hidden="1">1</definedName>
    <definedName name="HTML6_12" hidden="1">"C:\My Documents\CashFlow.htm"</definedName>
    <definedName name="HTML6_2" hidden="1">1</definedName>
    <definedName name="HTML6_3" hidden="1">"Balance Sheet &amp; Cash Flow"</definedName>
    <definedName name="HTML6_4" hidden="1">"Balance Sheet &amp; Cash Flow"</definedName>
    <definedName name="HTML6_5" hidden="1">"Financial model by Charlie Tillett of Frontier Software (charlie@frontier.com)"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"'[mitforum.xls]Double Entry Primer'!$A$1:$X$17"</definedName>
    <definedName name="HTML7_10" hidden="1">""</definedName>
    <definedName name="HTML7_11" hidden="1">1</definedName>
    <definedName name="HTML7_12" hidden="1">"C:\My Documents\DoubleEntry.htm"</definedName>
    <definedName name="HTML7_2" hidden="1">1</definedName>
    <definedName name="HTML7_3" hidden="1">"Double Entry Primer"</definedName>
    <definedName name="HTML7_4" hidden="1">"Double Entry Primer"</definedName>
    <definedName name="HTML7_5" hidden="1">"Financial model by Charlie Tillett of Frontier Software (charlie@frontier.com)"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_xlnm.Print_Area" localSheetId="7">' Capex and Cash Flow'!$D$3:$S$15</definedName>
    <definedName name="_xlnm.Print_Area" localSheetId="6">'Expenses'!$C$3:$T$31</definedName>
    <definedName name="_xlnm.Print_Area" localSheetId="3">'Sales Plan'!$E$3:$T$27</definedName>
    <definedName name="_xlnm.Print_Area" localSheetId="5">'Staffing Plan'!$C$4:$T$39</definedName>
    <definedName name="_xlnm.Print_Titles" localSheetId="7">' Capex and Cash Flow'!$A:$B,' Capex and Cash Flow'!$1:$2</definedName>
    <definedName name="_xlnm.Print_Titles" localSheetId="6">'Expenses'!$A:$B,'Expenses'!$1:$2</definedName>
    <definedName name="_xlnm.Print_Titles" localSheetId="2">'P &amp; L by Qtr'!$A:$B,'P &amp; L by Qtr'!$1:$2</definedName>
    <definedName name="_xlnm.Print_Titles" localSheetId="1">'P &amp; L by Year'!$A:$B,'P &amp; L by Year'!$1:$2</definedName>
    <definedName name="_xlnm.Print_Titles" localSheetId="3">'Sales Plan'!$A:$B,'Sales Plan'!$1:$2</definedName>
    <definedName name="_xlnm.Print_Titles" localSheetId="5">'Staffing Plan'!$A:$B,'Staffing Plan'!$1:$3</definedName>
  </definedNames>
  <calcPr fullCalcOnLoad="1"/>
</workbook>
</file>

<file path=xl/sharedStrings.xml><?xml version="1.0" encoding="utf-8"?>
<sst xmlns="http://schemas.openxmlformats.org/spreadsheetml/2006/main" count="675" uniqueCount="159">
  <si>
    <t>VP Engineering</t>
  </si>
  <si>
    <t>Project Manager</t>
  </si>
  <si>
    <t>TOTAL EMPLOYEES</t>
  </si>
  <si>
    <t>Calculated</t>
  </si>
  <si>
    <t>Sales Price</t>
  </si>
  <si>
    <t>Product Revenue</t>
  </si>
  <si>
    <t>Total Product Revenue</t>
  </si>
  <si>
    <t>Installed Base</t>
  </si>
  <si>
    <t>Supported Base (retention)</t>
  </si>
  <si>
    <t>Revenue</t>
  </si>
  <si>
    <t>Sales Revenue</t>
  </si>
  <si>
    <t>Source</t>
  </si>
  <si>
    <t>Unit Sales</t>
  </si>
  <si>
    <t>Model 1</t>
  </si>
  <si>
    <t>Model 2</t>
  </si>
  <si>
    <t>Model 3</t>
  </si>
  <si>
    <t>Total Installed Units</t>
  </si>
  <si>
    <t>Product COGS</t>
  </si>
  <si>
    <t>Mfg Staffing Plan</t>
  </si>
  <si>
    <t>VP Mfg</t>
  </si>
  <si>
    <t>Supervisor</t>
  </si>
  <si>
    <t>1 per 10</t>
  </si>
  <si>
    <t>Other/Admin</t>
  </si>
  <si>
    <t>Total MFG Staff</t>
  </si>
  <si>
    <t>Variable COGS per Unit</t>
  </si>
  <si>
    <t>Total Variable Costs</t>
  </si>
  <si>
    <t>Product COGS</t>
  </si>
  <si>
    <t xml:space="preserve">Variable Costs </t>
  </si>
  <si>
    <t>Total Product COGS</t>
  </si>
  <si>
    <t>Support COGS</t>
  </si>
  <si>
    <t>Support Staffing Plan</t>
  </si>
  <si>
    <t>VP Support</t>
  </si>
  <si>
    <t>Manager</t>
  </si>
  <si>
    <t>Support Staff</t>
  </si>
  <si>
    <t>Other/Admin</t>
  </si>
  <si>
    <t>Total Support Staff</t>
  </si>
  <si>
    <t>Warranty Costs per year</t>
  </si>
  <si>
    <t>Total Support COGS</t>
  </si>
  <si>
    <t>Cost of Goods Sold</t>
  </si>
  <si>
    <t>1 unit/day</t>
  </si>
  <si>
    <t>Legal / Audit</t>
  </si>
  <si>
    <t>Rent</t>
  </si>
  <si>
    <t>See Below</t>
  </si>
  <si>
    <t>Tel &amp; Internet (PP/PM)</t>
  </si>
  <si>
    <t>Rent Calculation</t>
  </si>
  <si>
    <t>Staffing</t>
  </si>
  <si>
    <t>Space required (PP)</t>
  </si>
  <si>
    <t>Sq Ft/PY</t>
  </si>
  <si>
    <t>Rent Cost - Ideal</t>
  </si>
  <si>
    <t>Rent Cost - Budgeted</t>
  </si>
  <si>
    <t>Total Revenue</t>
  </si>
  <si>
    <t>COGS Expenses</t>
  </si>
  <si>
    <t>Departmental Expenses</t>
  </si>
  <si>
    <t>From P&amp;L Quarterly *</t>
  </si>
  <si>
    <t>* delay 1 quarter</t>
  </si>
  <si>
    <t>Total Units</t>
  </si>
  <si>
    <t>Total COGS</t>
  </si>
  <si>
    <t>Engineering</t>
  </si>
  <si>
    <t>CTO</t>
  </si>
  <si>
    <t xml:space="preserve"> </t>
  </si>
  <si>
    <t>Programmer</t>
  </si>
  <si>
    <t>Tech Writer</t>
  </si>
  <si>
    <t>Total Eng</t>
  </si>
  <si>
    <t>Marketing</t>
  </si>
  <si>
    <t>VP Marketing</t>
  </si>
  <si>
    <t>Product Manager</t>
  </si>
  <si>
    <t>Total Mktg</t>
  </si>
  <si>
    <t>Sales</t>
  </si>
  <si>
    <t>VP Sales</t>
  </si>
  <si>
    <t>Regional Sales</t>
  </si>
  <si>
    <t>Total Sales</t>
  </si>
  <si>
    <t>General &amp; Admin</t>
  </si>
  <si>
    <t>VP Finance</t>
  </si>
  <si>
    <t>Total G&amp;A</t>
  </si>
  <si>
    <t>Trade Shows</t>
  </si>
  <si>
    <t>COGS</t>
  </si>
  <si>
    <t>Expenses</t>
  </si>
  <si>
    <t>Beginning Cash</t>
  </si>
  <si>
    <t>Ending Balance</t>
  </si>
  <si>
    <t>Year 1</t>
  </si>
  <si>
    <t>Model 1</t>
  </si>
  <si>
    <t>Model 2</t>
  </si>
  <si>
    <t>Model 3</t>
  </si>
  <si>
    <t>To P&amp;L</t>
  </si>
  <si>
    <t>Input</t>
  </si>
  <si>
    <t>Cost of Goods Sold</t>
  </si>
  <si>
    <t>Year 2</t>
  </si>
  <si>
    <t>Year 3</t>
  </si>
  <si>
    <t>Year 4</t>
  </si>
  <si>
    <t>Other</t>
  </si>
  <si>
    <t>CEO</t>
  </si>
  <si>
    <t>Staffing Plan</t>
  </si>
  <si>
    <t>Source</t>
  </si>
  <si>
    <t>Sales Plan</t>
  </si>
  <si>
    <t>G&amp;A</t>
  </si>
  <si>
    <t>Salaries &amp; Benefits</t>
  </si>
  <si>
    <t>Departmental Expenses</t>
  </si>
  <si>
    <t>input</t>
  </si>
  <si>
    <t>Expense</t>
  </si>
  <si>
    <t>Annual</t>
  </si>
  <si>
    <t>Salary</t>
  </si>
  <si>
    <t>Benefits/COLA -&gt;</t>
  </si>
  <si>
    <t>To Dept Exp</t>
  </si>
  <si>
    <t>Operating Exp.</t>
  </si>
  <si>
    <t>Total Operating Expense</t>
  </si>
  <si>
    <t>Total Engineering</t>
  </si>
  <si>
    <t>Total Marketing</t>
  </si>
  <si>
    <t>input/formula</t>
  </si>
  <si>
    <t>Misc / Other</t>
  </si>
  <si>
    <t>Literature / PR</t>
  </si>
  <si>
    <t>Accounting</t>
  </si>
  <si>
    <t>Investment</t>
  </si>
  <si>
    <t>Capital Expense</t>
  </si>
  <si>
    <t>Change in Cash</t>
  </si>
  <si>
    <t>Cash Flow</t>
  </si>
  <si>
    <t>Gross Margin</t>
  </si>
  <si>
    <t>Operating Profit</t>
  </si>
  <si>
    <t>P &amp; L by Year</t>
  </si>
  <si>
    <t>Redistribution permitted with attribution.</t>
  </si>
  <si>
    <t>Q1</t>
  </si>
  <si>
    <t>Q2</t>
  </si>
  <si>
    <t>Q3</t>
  </si>
  <si>
    <t>Q4</t>
  </si>
  <si>
    <t>P&amp;L By Qtr</t>
  </si>
  <si>
    <t>Sales Support</t>
  </si>
  <si>
    <t>Sales Admin</t>
  </si>
  <si>
    <t>Travel (PP/PM)</t>
  </si>
  <si>
    <t>Annual Rev/Emp (000)</t>
  </si>
  <si>
    <t>MIS</t>
  </si>
  <si>
    <t>Tech Supplies (PP/PM)</t>
  </si>
  <si>
    <t>Mar-Com</t>
  </si>
  <si>
    <t>Capital Expenses</t>
  </si>
  <si>
    <t>Employee Workstations (PP)</t>
  </si>
  <si>
    <t>Prototype Expenses</t>
  </si>
  <si>
    <t>From P&amp;L Quarterly</t>
  </si>
  <si>
    <t>From P&amp;L CAPEX</t>
  </si>
  <si>
    <t>Cumulative CAPEX</t>
  </si>
  <si>
    <t>Commission (% Rev)</t>
  </si>
  <si>
    <t>This spreadsheet was created by Charlie Tillett, for MIT</t>
  </si>
  <si>
    <t>Copyright 1999-2013.  All rights reserved.</t>
  </si>
  <si>
    <t>Revenue</t>
  </si>
  <si>
    <t>Support Revenue</t>
  </si>
  <si>
    <t>Total Revenue</t>
  </si>
  <si>
    <t>Product COGS</t>
  </si>
  <si>
    <t>Support COGS</t>
  </si>
  <si>
    <t>Total COGS</t>
  </si>
  <si>
    <t>COGS</t>
  </si>
  <si>
    <t>COGS</t>
  </si>
  <si>
    <t>Total COGS</t>
  </si>
  <si>
    <t>P &amp; L by Quarter</t>
  </si>
  <si>
    <t>Staff</t>
  </si>
  <si>
    <t>Product Revenue</t>
  </si>
  <si>
    <t>Support COGS</t>
  </si>
  <si>
    <t>from above</t>
  </si>
  <si>
    <t>Facilities</t>
  </si>
  <si>
    <t>Other</t>
  </si>
  <si>
    <t>Total Supported Base</t>
  </si>
  <si>
    <t>Technician</t>
  </si>
  <si>
    <t>Unit Sales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</si>
</sst>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0.0%"/>
    <numFmt numFmtId="172" formatCode="0.000%"/>
    <numFmt numFmtId="173" formatCode="&quot;$&quot;#,##0"/>
    <numFmt numFmtId="174" formatCode="#,###"/>
    <numFmt numFmtId="175" formatCode="&quot;$&quot;#,###"/>
    <numFmt numFmtId="176" formatCode="&quot;$&quot;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0"/>
      <color indexed="56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4"/>
      <name val="Arial"/>
      <family val="0"/>
    </font>
    <font>
      <sz val="10"/>
      <color indexed="33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7" fontId="8" fillId="0" borderId="0" xfId="44" applyNumberFormat="1" applyFont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/>
    </xf>
    <xf numFmtId="167" fontId="1" fillId="0" borderId="10" xfId="44" applyNumberFormat="1" applyFont="1" applyBorder="1" applyAlignment="1">
      <alignment/>
    </xf>
    <xf numFmtId="9" fontId="0" fillId="0" borderId="10" xfId="59" applyFont="1" applyBorder="1" applyAlignment="1">
      <alignment/>
    </xf>
    <xf numFmtId="167" fontId="0" fillId="0" borderId="0" xfId="44" applyNumberFormat="1" applyFont="1" applyAlignment="1">
      <alignment/>
    </xf>
    <xf numFmtId="167" fontId="1" fillId="0" borderId="0" xfId="44" applyNumberFormat="1" applyFont="1" applyAlignment="1">
      <alignment/>
    </xf>
    <xf numFmtId="9" fontId="0" fillId="0" borderId="0" xfId="59" applyFont="1" applyAlignment="1">
      <alignment/>
    </xf>
    <xf numFmtId="9" fontId="0" fillId="0" borderId="11" xfId="59" applyFont="1" applyBorder="1" applyAlignment="1">
      <alignment/>
    </xf>
    <xf numFmtId="167" fontId="1" fillId="0" borderId="12" xfId="44" applyNumberFormat="1" applyFont="1" applyBorder="1" applyAlignment="1">
      <alignment/>
    </xf>
    <xf numFmtId="9" fontId="0" fillId="0" borderId="12" xfId="59" applyFont="1" applyBorder="1" applyAlignment="1">
      <alignment/>
    </xf>
    <xf numFmtId="0" fontId="1" fillId="0" borderId="0" xfId="0" applyFont="1" applyAlignment="1">
      <alignment horizontal="left"/>
    </xf>
    <xf numFmtId="167" fontId="1" fillId="0" borderId="13" xfId="44" applyNumberFormat="1" applyFont="1" applyBorder="1" applyAlignment="1">
      <alignment/>
    </xf>
    <xf numFmtId="167" fontId="8" fillId="0" borderId="11" xfId="44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1" fillId="0" borderId="0" xfId="44" applyNumberFormat="1" applyFont="1" applyAlignment="1">
      <alignment horizontal="right"/>
    </xf>
    <xf numFmtId="9" fontId="9" fillId="0" borderId="0" xfId="59" applyFont="1" applyAlignment="1">
      <alignment horizontal="right"/>
    </xf>
    <xf numFmtId="169" fontId="0" fillId="0" borderId="0" xfId="42" applyNumberFormat="1" applyFont="1" applyAlignment="1">
      <alignment/>
    </xf>
    <xf numFmtId="0" fontId="10" fillId="0" borderId="0" xfId="0" applyFont="1" applyAlignment="1">
      <alignment horizontal="right"/>
    </xf>
    <xf numFmtId="169" fontId="1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167" fontId="10" fillId="0" borderId="0" xfId="44" applyNumberFormat="1" applyFont="1" applyAlignment="1">
      <alignment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10" fillId="0" borderId="11" xfId="42" applyNumberFormat="1" applyFont="1" applyBorder="1" applyAlignment="1">
      <alignment/>
    </xf>
    <xf numFmtId="169" fontId="1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167" fontId="11" fillId="0" borderId="10" xfId="0" applyNumberFormat="1" applyFont="1" applyBorder="1" applyAlignment="1">
      <alignment/>
    </xf>
    <xf numFmtId="173" fontId="0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167" fontId="10" fillId="0" borderId="0" xfId="44" applyNumberFormat="1" applyFont="1" applyAlignment="1">
      <alignment horizontal="center"/>
    </xf>
    <xf numFmtId="167" fontId="12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167" fontId="12" fillId="0" borderId="0" xfId="44" applyNumberFormat="1" applyFont="1" applyBorder="1" applyAlignment="1">
      <alignment/>
    </xf>
    <xf numFmtId="9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12" fillId="0" borderId="0" xfId="0" applyNumberFormat="1" applyFont="1" applyAlignment="1">
      <alignment/>
    </xf>
    <xf numFmtId="167" fontId="0" fillId="0" borderId="10" xfId="44" applyNumberFormat="1" applyFont="1" applyBorder="1" applyAlignment="1">
      <alignment/>
    </xf>
    <xf numFmtId="174" fontId="0" fillId="0" borderId="0" xfId="0" applyNumberFormat="1" applyFont="1" applyAlignment="1">
      <alignment horizontal="right"/>
    </xf>
    <xf numFmtId="169" fontId="0" fillId="0" borderId="13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3" fontId="0" fillId="0" borderId="0" xfId="0" applyNumberFormat="1" applyFont="1" applyAlignment="1">
      <alignment horizontal="right"/>
    </xf>
    <xf numFmtId="169" fontId="1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10" fillId="0" borderId="11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7" fontId="13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167" fontId="10" fillId="0" borderId="0" xfId="44" applyNumberFormat="1" applyFont="1" applyAlignment="1">
      <alignment horizontal="right"/>
    </xf>
    <xf numFmtId="167" fontId="0" fillId="0" borderId="0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10" fillId="0" borderId="0" xfId="0" applyNumberFormat="1" applyFont="1" applyAlignment="1">
      <alignment/>
    </xf>
    <xf numFmtId="167" fontId="12" fillId="0" borderId="13" xfId="0" applyNumberFormat="1" applyFont="1" applyBorder="1" applyAlignment="1">
      <alignment/>
    </xf>
    <xf numFmtId="10" fontId="0" fillId="0" borderId="0" xfId="0" applyNumberFormat="1" applyFont="1" applyAlignment="1">
      <alignment horizontal="center"/>
    </xf>
    <xf numFmtId="175" fontId="0" fillId="0" borderId="0" xfId="44" applyNumberFormat="1" applyFont="1" applyAlignment="1">
      <alignment/>
    </xf>
    <xf numFmtId="0" fontId="13" fillId="0" borderId="0" xfId="0" applyFont="1" applyAlignment="1">
      <alignment horizontal="right"/>
    </xf>
    <xf numFmtId="167" fontId="0" fillId="0" borderId="10" xfId="44" applyNumberFormat="1" applyFont="1" applyBorder="1" applyAlignment="1">
      <alignment/>
    </xf>
    <xf numFmtId="167" fontId="14" fillId="0" borderId="0" xfId="44" applyNumberFormat="1" applyFont="1" applyAlignment="1">
      <alignment/>
    </xf>
    <xf numFmtId="0" fontId="0" fillId="0" borderId="0" xfId="0" applyFont="1" applyAlignment="1">
      <alignment/>
    </xf>
    <xf numFmtId="167" fontId="10" fillId="0" borderId="11" xfId="44" applyNumberFormat="1" applyFont="1" applyBorder="1" applyAlignment="1">
      <alignment/>
    </xf>
    <xf numFmtId="167" fontId="11" fillId="0" borderId="0" xfId="44" applyNumberFormat="1" applyFont="1" applyAlignment="1">
      <alignment/>
    </xf>
    <xf numFmtId="167" fontId="11" fillId="0" borderId="10" xfId="44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0" fontId="10" fillId="0" borderId="0" xfId="59" applyNumberFormat="1" applyFont="1" applyBorder="1" applyAlignment="1">
      <alignment horizontal="right"/>
    </xf>
    <xf numFmtId="167" fontId="10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1" fontId="8" fillId="0" borderId="0" xfId="44" applyNumberFormat="1" applyFont="1" applyAlignment="1">
      <alignment/>
    </xf>
    <xf numFmtId="3" fontId="0" fillId="0" borderId="0" xfId="44" applyNumberFormat="1" applyFont="1" applyAlignment="1">
      <alignment/>
    </xf>
    <xf numFmtId="1" fontId="0" fillId="0" borderId="0" xfId="44" applyNumberFormat="1" applyFont="1" applyAlignment="1">
      <alignment/>
    </xf>
    <xf numFmtId="0" fontId="0" fillId="0" borderId="0" xfId="0" applyFont="1" applyBorder="1" applyAlignment="1">
      <alignment horizontal="left"/>
    </xf>
    <xf numFmtId="167" fontId="10" fillId="0" borderId="0" xfId="44" applyNumberFormat="1" applyFont="1" applyBorder="1" applyAlignment="1">
      <alignment horizontal="right"/>
    </xf>
    <xf numFmtId="167" fontId="1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8" fillId="0" borderId="0" xfId="44" applyNumberFormat="1" applyFont="1" applyBorder="1" applyAlignment="1">
      <alignment horizontal="right"/>
    </xf>
    <xf numFmtId="167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7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75.57421875" defaultRowHeight="12.75"/>
  <sheetData>
    <row r="1" ht="19.5">
      <c r="A1" s="1" t="s">
        <v>138</v>
      </c>
    </row>
    <row r="2" ht="19.5">
      <c r="A2" s="2"/>
    </row>
    <row r="3" ht="19.5">
      <c r="A3" s="2"/>
    </row>
    <row r="4" ht="19.5">
      <c r="A4" s="2" t="s">
        <v>118</v>
      </c>
    </row>
    <row r="5" ht="19.5">
      <c r="A5" s="2"/>
    </row>
    <row r="6" ht="19.5">
      <c r="A6" s="1" t="s">
        <v>139</v>
      </c>
    </row>
  </sheetData>
  <sheetProtection/>
  <printOptions/>
  <pageMargins left="0.75" right="0.75" top="1" bottom="1" header="0.5" footer="0.5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="150" zoomScaleNormal="15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O22"/>
    </sheetView>
  </sheetViews>
  <sheetFormatPr defaultColWidth="8.8515625" defaultRowHeight="15" customHeight="1"/>
  <cols>
    <col min="1" max="1" width="4.00390625" style="3" customWidth="1"/>
    <col min="2" max="2" width="14.421875" style="4" bestFit="1" customWidth="1"/>
    <col min="3" max="3" width="9.57421875" style="4" bestFit="1" customWidth="1"/>
    <col min="4" max="4" width="2.421875" style="4" customWidth="1"/>
    <col min="5" max="5" width="11.421875" style="5" customWidth="1"/>
    <col min="6" max="6" width="6.140625" style="5" bestFit="1" customWidth="1"/>
    <col min="7" max="7" width="2.57421875" style="5" customWidth="1"/>
    <col min="8" max="8" width="11.57421875" style="5" bestFit="1" customWidth="1"/>
    <col min="9" max="9" width="5.421875" style="5" bestFit="1" customWidth="1"/>
    <col min="10" max="10" width="2.57421875" style="5" customWidth="1"/>
    <col min="11" max="11" width="11.57421875" style="5" bestFit="1" customWidth="1"/>
    <col min="12" max="12" width="5.421875" style="5" bestFit="1" customWidth="1"/>
    <col min="13" max="13" width="2.57421875" style="5" customWidth="1"/>
    <col min="14" max="14" width="11.57421875" style="5" bestFit="1" customWidth="1"/>
    <col min="15" max="15" width="5.421875" style="5" bestFit="1" customWidth="1"/>
    <col min="16" max="16" width="2.57421875" style="5" customWidth="1"/>
    <col min="17" max="16384" width="8.8515625" style="5" customWidth="1"/>
  </cols>
  <sheetData>
    <row r="1" ht="15" customHeight="1">
      <c r="A1" s="3" t="s">
        <v>117</v>
      </c>
    </row>
    <row r="2" spans="3:14" s="6" customFormat="1" ht="15" customHeight="1">
      <c r="C2" s="7" t="s">
        <v>92</v>
      </c>
      <c r="D2" s="7"/>
      <c r="E2" s="6" t="s">
        <v>79</v>
      </c>
      <c r="H2" s="6" t="s">
        <v>86</v>
      </c>
      <c r="K2" s="6" t="s">
        <v>87</v>
      </c>
      <c r="N2" s="6" t="s">
        <v>88</v>
      </c>
    </row>
    <row r="3" spans="1:4" ht="15" customHeight="1">
      <c r="A3" s="3" t="s">
        <v>140</v>
      </c>
      <c r="C3" s="8"/>
      <c r="D3" s="8"/>
    </row>
    <row r="4" spans="1:15" s="12" customFormat="1" ht="15" customHeight="1">
      <c r="A4" s="3"/>
      <c r="B4" s="4" t="s">
        <v>151</v>
      </c>
      <c r="C4" s="9" t="s">
        <v>123</v>
      </c>
      <c r="D4" s="9"/>
      <c r="E4" s="10">
        <f>SUM('P &amp; L by Qtr'!E4:H4)</f>
        <v>1700000</v>
      </c>
      <c r="F4" s="11">
        <f>E4/E$6</f>
        <v>0.950965824665676</v>
      </c>
      <c r="H4" s="10">
        <f>SUM('P &amp; L by Qtr'!I4:L4)</f>
        <v>12180000</v>
      </c>
      <c r="I4" s="11">
        <f>H4/H$6</f>
        <v>0.9304351492028565</v>
      </c>
      <c r="K4" s="10">
        <f>SUM('P &amp; L by Qtr'!M4:P4)</f>
        <v>34810000</v>
      </c>
      <c r="L4" s="11">
        <f>K4/K$6</f>
        <v>0.9197343037103464</v>
      </c>
      <c r="N4" s="10">
        <f>SUM('P &amp; L by Qtr'!Q4:T4)</f>
        <v>60200000</v>
      </c>
      <c r="O4" s="11">
        <f>N4/N$6</f>
        <v>0.9034771216476538</v>
      </c>
    </row>
    <row r="5" spans="1:15" s="12" customFormat="1" ht="15" customHeight="1">
      <c r="A5" s="3"/>
      <c r="B5" s="4" t="s">
        <v>141</v>
      </c>
      <c r="C5" s="9" t="s">
        <v>123</v>
      </c>
      <c r="D5" s="9"/>
      <c r="E5" s="10">
        <f>SUM('P &amp; L by Qtr'!E5:H5)</f>
        <v>87656.25</v>
      </c>
      <c r="F5" s="11">
        <f>E5/E$6</f>
        <v>0.04903417533432392</v>
      </c>
      <c r="H5" s="10">
        <f>SUM('P &amp; L by Qtr'!I5:L5)</f>
        <v>910649.0478515625</v>
      </c>
      <c r="I5" s="11">
        <f>H5/H$6</f>
        <v>0.0695648507971435</v>
      </c>
      <c r="K5" s="10">
        <f>SUM('P &amp; L by Qtr'!M5:P5)</f>
        <v>3037887.0034217834</v>
      </c>
      <c r="L5" s="11">
        <f>K5/K$6</f>
        <v>0.08026569628965367</v>
      </c>
      <c r="N5" s="10">
        <f>SUM('P &amp; L by Qtr'!Q5:T5)</f>
        <v>6431460.340926424</v>
      </c>
      <c r="O5" s="11">
        <f>N5/N$6</f>
        <v>0.09652287835234623</v>
      </c>
    </row>
    <row r="6" spans="2:15" s="3" customFormat="1" ht="15" customHeight="1">
      <c r="B6" s="6" t="s">
        <v>142</v>
      </c>
      <c r="C6" s="8"/>
      <c r="D6" s="8"/>
      <c r="E6" s="13">
        <f>SUM(E4:E5)</f>
        <v>1787656.25</v>
      </c>
      <c r="F6" s="14">
        <f>E6/E$6</f>
        <v>1</v>
      </c>
      <c r="H6" s="13">
        <f>SUM(H4:H5)</f>
        <v>13090649.047851562</v>
      </c>
      <c r="I6" s="14">
        <f>H6/H$6</f>
        <v>1</v>
      </c>
      <c r="K6" s="13">
        <f>SUM(K4:K5)</f>
        <v>37847887.00342178</v>
      </c>
      <c r="L6" s="14">
        <f>K6/K$6</f>
        <v>1</v>
      </c>
      <c r="N6" s="13">
        <f>SUM(N4:N5)</f>
        <v>66631460.34092642</v>
      </c>
      <c r="O6" s="14">
        <f>N6/N$6</f>
        <v>1</v>
      </c>
    </row>
    <row r="7" spans="3:15" ht="15" customHeight="1">
      <c r="C7" s="8"/>
      <c r="D7" s="8"/>
      <c r="E7" s="15"/>
      <c r="F7" s="15"/>
      <c r="H7" s="15"/>
      <c r="I7" s="15"/>
      <c r="K7" s="15"/>
      <c r="L7" s="15"/>
      <c r="N7" s="15"/>
      <c r="O7" s="15"/>
    </row>
    <row r="8" spans="1:15" ht="15" customHeight="1">
      <c r="A8" s="3" t="s">
        <v>75</v>
      </c>
      <c r="C8" s="8"/>
      <c r="D8" s="8"/>
      <c r="E8" s="15"/>
      <c r="F8" s="15"/>
      <c r="H8" s="15"/>
      <c r="I8" s="15"/>
      <c r="K8" s="15"/>
      <c r="L8" s="15"/>
      <c r="N8" s="15"/>
      <c r="O8" s="15"/>
    </row>
    <row r="9" spans="1:15" s="12" customFormat="1" ht="15" customHeight="1">
      <c r="A9" s="3"/>
      <c r="B9" s="4" t="s">
        <v>143</v>
      </c>
      <c r="C9" s="9" t="s">
        <v>123</v>
      </c>
      <c r="D9" s="9"/>
      <c r="E9" s="10">
        <f>SUM('P &amp; L by Qtr'!E9:H9)</f>
        <v>598062.5</v>
      </c>
      <c r="F9" s="11">
        <f>E9/E$6</f>
        <v>0.33455117559653874</v>
      </c>
      <c r="H9" s="10">
        <f>SUM('P &amp; L by Qtr'!I9:L9)</f>
        <v>3009287.5</v>
      </c>
      <c r="I9" s="11">
        <f>H9/H$6</f>
        <v>0.22988069491435065</v>
      </c>
      <c r="K9" s="10">
        <f>SUM('P &amp; L by Qtr'!M9:P9)</f>
        <v>9366100</v>
      </c>
      <c r="L9" s="11">
        <f>K9/K$6</f>
        <v>0.24746691933299267</v>
      </c>
      <c r="N9" s="10">
        <f>SUM('P &amp; L by Qtr'!Q9:T9)</f>
        <v>16216400</v>
      </c>
      <c r="O9" s="11">
        <f>N9/N$6</f>
        <v>0.24337452484197694</v>
      </c>
    </row>
    <row r="10" spans="1:15" s="12" customFormat="1" ht="15" customHeight="1">
      <c r="A10" s="3"/>
      <c r="B10" s="4" t="s">
        <v>144</v>
      </c>
      <c r="C10" s="9" t="s">
        <v>123</v>
      </c>
      <c r="D10" s="9"/>
      <c r="E10" s="10">
        <f>SUM('P &amp; L by Qtr'!E10:H10)</f>
        <v>326975</v>
      </c>
      <c r="F10" s="11">
        <f>E10/E$6</f>
        <v>0.18290708854121143</v>
      </c>
      <c r="H10" s="10">
        <f>SUM('P &amp; L by Qtr'!I10:L10)</f>
        <v>754039.74609375</v>
      </c>
      <c r="I10" s="11">
        <f>H10/H$6</f>
        <v>0.05760140259947638</v>
      </c>
      <c r="K10" s="10">
        <f>SUM('P &amp; L by Qtr'!M10:P10)</f>
        <v>1355383.2009124756</v>
      </c>
      <c r="L10" s="11">
        <f>K10/K$6</f>
        <v>0.03581133078287665</v>
      </c>
      <c r="N10" s="10">
        <f>SUM('P &amp; L by Qtr'!Q10:T10)</f>
        <v>2294416.090913713</v>
      </c>
      <c r="O10" s="11">
        <f>N10/N$6</f>
        <v>0.03443442600798643</v>
      </c>
    </row>
    <row r="11" spans="1:15" ht="15" customHeight="1">
      <c r="A11" s="3" t="s">
        <v>59</v>
      </c>
      <c r="B11" s="6" t="s">
        <v>145</v>
      </c>
      <c r="C11" s="8"/>
      <c r="D11" s="8"/>
      <c r="E11" s="13">
        <f>SUM(E9:E10)</f>
        <v>925037.5</v>
      </c>
      <c r="F11" s="14">
        <f>E11/E$6</f>
        <v>0.5174582641377502</v>
      </c>
      <c r="H11" s="13">
        <f>SUM(H9:H10)</f>
        <v>3763327.24609375</v>
      </c>
      <c r="I11" s="14">
        <f>H11/H$6</f>
        <v>0.28748209751382703</v>
      </c>
      <c r="K11" s="13">
        <f>SUM(K9:K10)</f>
        <v>10721483.200912476</v>
      </c>
      <c r="L11" s="14">
        <f>K11/K$6</f>
        <v>0.2832782501158693</v>
      </c>
      <c r="N11" s="13">
        <f>SUM(N9:N10)</f>
        <v>18510816.090913713</v>
      </c>
      <c r="O11" s="14">
        <f>N11/N$6</f>
        <v>0.2778089508499634</v>
      </c>
    </row>
    <row r="12" spans="2:15" ht="15" customHeight="1">
      <c r="B12" s="6"/>
      <c r="C12" s="8"/>
      <c r="D12" s="8"/>
      <c r="E12" s="15"/>
      <c r="F12" s="15"/>
      <c r="H12" s="15"/>
      <c r="I12" s="15"/>
      <c r="K12" s="15"/>
      <c r="L12" s="15"/>
      <c r="N12" s="15"/>
      <c r="O12" s="15"/>
    </row>
    <row r="13" spans="1:15" s="3" customFormat="1" ht="15" customHeight="1">
      <c r="A13" s="3" t="s">
        <v>115</v>
      </c>
      <c r="B13" s="6"/>
      <c r="C13" s="8"/>
      <c r="D13" s="8"/>
      <c r="E13" s="16">
        <f>E6-E11</f>
        <v>862618.75</v>
      </c>
      <c r="F13" s="17">
        <f>E13/E$6</f>
        <v>0.4825417358622498</v>
      </c>
      <c r="H13" s="16">
        <f>H6-H11</f>
        <v>9327321.801757812</v>
      </c>
      <c r="I13" s="17">
        <f>H13/H$6</f>
        <v>0.712517902486173</v>
      </c>
      <c r="K13" s="16">
        <f>K6-K11</f>
        <v>27126403.802509308</v>
      </c>
      <c r="L13" s="17">
        <f>K13/K$6</f>
        <v>0.7167217498841307</v>
      </c>
      <c r="N13" s="16">
        <f>N6-N11</f>
        <v>48120644.25001271</v>
      </c>
      <c r="O13" s="17">
        <f>N13/N$6</f>
        <v>0.7221910491500366</v>
      </c>
    </row>
    <row r="14" spans="3:15" ht="15" customHeight="1">
      <c r="C14" s="8"/>
      <c r="D14" s="8"/>
      <c r="E14" s="15"/>
      <c r="F14" s="15"/>
      <c r="H14" s="15"/>
      <c r="I14" s="15"/>
      <c r="K14" s="15"/>
      <c r="L14" s="15"/>
      <c r="N14" s="15"/>
      <c r="O14" s="15"/>
    </row>
    <row r="15" spans="1:15" ht="15" customHeight="1">
      <c r="A15" s="3" t="s">
        <v>76</v>
      </c>
      <c r="C15" s="8"/>
      <c r="D15" s="8"/>
      <c r="E15" s="15"/>
      <c r="F15" s="15"/>
      <c r="H15" s="15"/>
      <c r="I15" s="15"/>
      <c r="K15" s="15"/>
      <c r="L15" s="15"/>
      <c r="N15" s="15"/>
      <c r="O15" s="15"/>
    </row>
    <row r="16" spans="1:15" s="12" customFormat="1" ht="15" customHeight="1">
      <c r="A16" s="3"/>
      <c r="B16" s="4" t="s">
        <v>57</v>
      </c>
      <c r="C16" s="9" t="s">
        <v>123</v>
      </c>
      <c r="D16" s="9"/>
      <c r="E16" s="10">
        <f>SUM('P &amp; L by Qtr'!E16:H16)</f>
        <v>1746687.5</v>
      </c>
      <c r="F16" s="11">
        <f>E16/E$6</f>
        <v>0.9770824228651341</v>
      </c>
      <c r="H16" s="10">
        <f>SUM('P &amp; L by Qtr'!I16:L16)</f>
        <v>3824862.5</v>
      </c>
      <c r="I16" s="11">
        <f>H16/H$6</f>
        <v>0.29218280056386786</v>
      </c>
      <c r="K16" s="10">
        <f>SUM('P &amp; L by Qtr'!M16:P16)</f>
        <v>6685350</v>
      </c>
      <c r="L16" s="11">
        <f>K16/K$6</f>
        <v>0.1766373377566781</v>
      </c>
      <c r="N16" s="10">
        <f>SUM('P &amp; L by Qtr'!Q16:T16)</f>
        <v>11415662.5</v>
      </c>
      <c r="O16" s="11">
        <f>N16/N$6</f>
        <v>0.17132541357476844</v>
      </c>
    </row>
    <row r="17" spans="1:15" s="12" customFormat="1" ht="15" customHeight="1">
      <c r="A17" s="3"/>
      <c r="B17" s="4" t="s">
        <v>63</v>
      </c>
      <c r="C17" s="9" t="s">
        <v>123</v>
      </c>
      <c r="D17" s="9"/>
      <c r="E17" s="10">
        <f>SUM('P &amp; L by Qtr'!E17:H17)</f>
        <v>811375</v>
      </c>
      <c r="F17" s="11">
        <f>E17/E$6</f>
        <v>0.4538764094047723</v>
      </c>
      <c r="H17" s="10">
        <f>SUM('P &amp; L by Qtr'!I17:L17)</f>
        <v>2076000</v>
      </c>
      <c r="I17" s="11">
        <f>H17/H$6</f>
        <v>0.15858648355871346</v>
      </c>
      <c r="K17" s="10">
        <f>SUM('P &amp; L by Qtr'!M17:P17)</f>
        <v>3448350</v>
      </c>
      <c r="L17" s="11">
        <f>K17/K$6</f>
        <v>0.0911107666245209</v>
      </c>
      <c r="N17" s="10">
        <f>SUM('P &amp; L by Qtr'!Q17:T17)</f>
        <v>5268750</v>
      </c>
      <c r="O17" s="11">
        <f>N17/N$6</f>
        <v>0.07907300805118066</v>
      </c>
    </row>
    <row r="18" spans="1:15" s="12" customFormat="1" ht="15" customHeight="1">
      <c r="A18" s="3"/>
      <c r="B18" s="4" t="s">
        <v>67</v>
      </c>
      <c r="C18" s="9" t="s">
        <v>123</v>
      </c>
      <c r="D18" s="9"/>
      <c r="E18" s="10">
        <f>SUM('P &amp; L by Qtr'!E18:H18)</f>
        <v>1316500</v>
      </c>
      <c r="F18" s="11">
        <f>E18/E$6</f>
        <v>0.736439122454331</v>
      </c>
      <c r="H18" s="10">
        <f>SUM('P &amp; L by Qtr'!I18:L18)</f>
        <v>3370650</v>
      </c>
      <c r="I18" s="11">
        <f>H18/H$6</f>
        <v>0.2574853231248447</v>
      </c>
      <c r="K18" s="10">
        <f>SUM('P &amp; L by Qtr'!M18:P18)</f>
        <v>6016050</v>
      </c>
      <c r="L18" s="11">
        <f>K18/K$6</f>
        <v>0.15895339149200313</v>
      </c>
      <c r="N18" s="10">
        <f>SUM('P &amp; L by Qtr'!Q18:T18)</f>
        <v>10001750</v>
      </c>
      <c r="O18" s="11">
        <f>N18/N$6</f>
        <v>0.15010551995746546</v>
      </c>
    </row>
    <row r="19" spans="1:15" s="12" customFormat="1" ht="15" customHeight="1">
      <c r="A19" s="3"/>
      <c r="B19" s="4" t="s">
        <v>94</v>
      </c>
      <c r="C19" s="9" t="s">
        <v>123</v>
      </c>
      <c r="D19" s="9"/>
      <c r="E19" s="10">
        <f>SUM('P &amp; L by Qtr'!E19:H19)</f>
        <v>1091625</v>
      </c>
      <c r="F19" s="18">
        <f>E19/E$6</f>
        <v>0.6106459225592169</v>
      </c>
      <c r="H19" s="10">
        <f>SUM('P &amp; L by Qtr'!I19:L19)</f>
        <v>2161100</v>
      </c>
      <c r="I19" s="18">
        <f>H19/H$6</f>
        <v>0.1650873071381193</v>
      </c>
      <c r="K19" s="10">
        <f>SUM('P &amp; L by Qtr'!M19:P19)</f>
        <v>3593250</v>
      </c>
      <c r="L19" s="18">
        <f>K19/K$6</f>
        <v>0.09493924983646085</v>
      </c>
      <c r="N19" s="10">
        <f>SUM('P &amp; L by Qtr'!Q19:T19)</f>
        <v>5138250</v>
      </c>
      <c r="O19" s="18">
        <f>N19/N$6</f>
        <v>0.07711447375923683</v>
      </c>
    </row>
    <row r="20" spans="2:15" s="3" customFormat="1" ht="15" customHeight="1">
      <c r="B20" s="6" t="s">
        <v>103</v>
      </c>
      <c r="C20" s="8"/>
      <c r="D20" s="8"/>
      <c r="E20" s="13">
        <f>SUM(E16:E19)</f>
        <v>4966187.5</v>
      </c>
      <c r="F20" s="14">
        <f>E20/E$6</f>
        <v>2.778043877283454</v>
      </c>
      <c r="H20" s="13">
        <f>SUM(H16:H19)</f>
        <v>11432612.5</v>
      </c>
      <c r="I20" s="14">
        <f>H20/H$6</f>
        <v>0.8733419143855453</v>
      </c>
      <c r="K20" s="13">
        <f>SUM(K16:K19)</f>
        <v>19743000</v>
      </c>
      <c r="L20" s="14">
        <f>K20/K$6</f>
        <v>0.5216407457096629</v>
      </c>
      <c r="N20" s="13">
        <f>SUM(N16:N19)</f>
        <v>31824412.5</v>
      </c>
      <c r="O20" s="14">
        <f>N20/N$6</f>
        <v>0.47761841534265137</v>
      </c>
    </row>
    <row r="21" spans="3:15" ht="15" customHeight="1">
      <c r="C21" s="8"/>
      <c r="D21" s="8"/>
      <c r="E21" s="15"/>
      <c r="F21" s="15"/>
      <c r="H21" s="15"/>
      <c r="I21" s="15"/>
      <c r="K21" s="15"/>
      <c r="L21" s="15"/>
      <c r="N21" s="15"/>
      <c r="O21" s="15"/>
    </row>
    <row r="22" spans="1:15" ht="15" customHeight="1" thickBot="1">
      <c r="A22" s="3" t="s">
        <v>116</v>
      </c>
      <c r="C22" s="8"/>
      <c r="D22" s="8"/>
      <c r="E22" s="19">
        <f>E13-E20</f>
        <v>-4103568.75</v>
      </c>
      <c r="F22" s="20">
        <f>E22/E$6</f>
        <v>-2.2955021414212045</v>
      </c>
      <c r="H22" s="19">
        <f>H13-H20</f>
        <v>-2105290.6982421875</v>
      </c>
      <c r="I22" s="20">
        <f>H22/H$6</f>
        <v>-0.1608240118993724</v>
      </c>
      <c r="K22" s="19">
        <f>K13-K20</f>
        <v>7383403.802509308</v>
      </c>
      <c r="L22" s="20">
        <f>K22/K$6</f>
        <v>0.19508100417446772</v>
      </c>
      <c r="N22" s="19">
        <f>N13-N20</f>
        <v>16296231.75001271</v>
      </c>
      <c r="O22" s="20">
        <f>N22/N$6</f>
        <v>0.24457263380738525</v>
      </c>
    </row>
    <row r="23" ht="15" customHeight="1" thickTop="1"/>
  </sheetData>
  <sheetProtection/>
  <printOptions gridLines="1" horizontalCentered="1"/>
  <pageMargins left="0.25" right="0.25" top="1" bottom="1" header="0.5" footer="0.5"/>
  <pageSetup horizontalDpi="1200" verticalDpi="1200" orientation="landscape"/>
  <headerFooter alignWithMargins="0">
    <oddFooter>&amp;L&amp;A&amp;CPage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150" zoomScaleNormal="15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J22"/>
    </sheetView>
  </sheetViews>
  <sheetFormatPr defaultColWidth="8.57421875" defaultRowHeight="15" customHeight="1"/>
  <cols>
    <col min="1" max="1" width="3.57421875" style="3" customWidth="1"/>
    <col min="2" max="2" width="12.421875" style="4" customWidth="1"/>
    <col min="3" max="3" width="9.140625" style="8" bestFit="1" customWidth="1"/>
    <col min="4" max="4" width="1.8515625" style="8" customWidth="1"/>
    <col min="5" max="5" width="10.00390625" style="5" bestFit="1" customWidth="1"/>
    <col min="6" max="6" width="10.8515625" style="5" bestFit="1" customWidth="1"/>
    <col min="7" max="7" width="11.421875" style="5" bestFit="1" customWidth="1"/>
    <col min="8" max="14" width="10.8515625" style="5" bestFit="1" customWidth="1"/>
    <col min="15" max="20" width="11.57421875" style="5" bestFit="1" customWidth="1"/>
    <col min="21" max="16384" width="8.57421875" style="5" customWidth="1"/>
  </cols>
  <sheetData>
    <row r="1" spans="1:20" s="6" customFormat="1" ht="15" customHeight="1">
      <c r="A1" s="21" t="s">
        <v>149</v>
      </c>
      <c r="C1" s="7" t="s">
        <v>92</v>
      </c>
      <c r="D1" s="7"/>
      <c r="E1" s="6" t="s">
        <v>119</v>
      </c>
      <c r="F1" s="6" t="s">
        <v>120</v>
      </c>
      <c r="G1" s="6" t="s">
        <v>121</v>
      </c>
      <c r="H1" s="6" t="s">
        <v>122</v>
      </c>
      <c r="I1" s="6" t="s">
        <v>119</v>
      </c>
      <c r="J1" s="6" t="s">
        <v>120</v>
      </c>
      <c r="K1" s="6" t="s">
        <v>121</v>
      </c>
      <c r="L1" s="6" t="s">
        <v>122</v>
      </c>
      <c r="M1" s="6" t="s">
        <v>119</v>
      </c>
      <c r="N1" s="6" t="s">
        <v>120</v>
      </c>
      <c r="O1" s="6" t="s">
        <v>121</v>
      </c>
      <c r="P1" s="6" t="s">
        <v>122</v>
      </c>
      <c r="Q1" s="6" t="s">
        <v>119</v>
      </c>
      <c r="R1" s="6" t="s">
        <v>120</v>
      </c>
      <c r="S1" s="6" t="s">
        <v>121</v>
      </c>
      <c r="T1" s="6" t="s">
        <v>122</v>
      </c>
    </row>
    <row r="2" spans="5:20" s="6" customFormat="1" ht="15" customHeight="1">
      <c r="E2" s="6" t="s">
        <v>79</v>
      </c>
      <c r="F2" s="6" t="s">
        <v>79</v>
      </c>
      <c r="G2" s="6" t="s">
        <v>79</v>
      </c>
      <c r="H2" s="6" t="s">
        <v>79</v>
      </c>
      <c r="I2" s="6" t="s">
        <v>86</v>
      </c>
      <c r="J2" s="6" t="s">
        <v>86</v>
      </c>
      <c r="K2" s="6" t="s">
        <v>86</v>
      </c>
      <c r="L2" s="6" t="s">
        <v>86</v>
      </c>
      <c r="M2" s="6" t="s">
        <v>87</v>
      </c>
      <c r="N2" s="6" t="s">
        <v>87</v>
      </c>
      <c r="O2" s="6" t="s">
        <v>87</v>
      </c>
      <c r="P2" s="6" t="s">
        <v>87</v>
      </c>
      <c r="Q2" s="6" t="s">
        <v>88</v>
      </c>
      <c r="R2" s="6" t="s">
        <v>88</v>
      </c>
      <c r="S2" s="6" t="s">
        <v>88</v>
      </c>
      <c r="T2" s="6" t="s">
        <v>88</v>
      </c>
    </row>
    <row r="3" spans="1:18" ht="15" customHeight="1">
      <c r="A3" s="3" t="s">
        <v>140</v>
      </c>
      <c r="Q3" s="6"/>
      <c r="R3" s="6"/>
    </row>
    <row r="4" spans="1:20" s="12" customFormat="1" ht="15" customHeight="1">
      <c r="A4" s="3"/>
      <c r="B4" s="4" t="s">
        <v>151</v>
      </c>
      <c r="C4" s="9" t="s">
        <v>93</v>
      </c>
      <c r="D4" s="9"/>
      <c r="E4" s="10">
        <f>'Sales Plan'!E18</f>
        <v>0</v>
      </c>
      <c r="F4" s="10">
        <f>'Sales Plan'!F18</f>
        <v>200000</v>
      </c>
      <c r="G4" s="10">
        <f>'Sales Plan'!G18</f>
        <v>500000</v>
      </c>
      <c r="H4" s="10">
        <f>'Sales Plan'!H18</f>
        <v>1000000</v>
      </c>
      <c r="I4" s="10">
        <f>'Sales Plan'!I18</f>
        <v>1740000</v>
      </c>
      <c r="J4" s="10">
        <f>'Sales Plan'!J18</f>
        <v>2610000</v>
      </c>
      <c r="K4" s="10">
        <f>'Sales Plan'!K18</f>
        <v>3480000</v>
      </c>
      <c r="L4" s="10">
        <f>'Sales Plan'!L18</f>
        <v>4350000</v>
      </c>
      <c r="M4" s="10">
        <f>'Sales Plan'!M18</f>
        <v>5410000</v>
      </c>
      <c r="N4" s="10">
        <f>'Sales Plan'!N18</f>
        <v>7400000</v>
      </c>
      <c r="O4" s="10">
        <f>'Sales Plan'!O18</f>
        <v>9800000</v>
      </c>
      <c r="P4" s="10">
        <f>'Sales Plan'!P18</f>
        <v>12200000</v>
      </c>
      <c r="Q4" s="10">
        <f>'Sales Plan'!Q18</f>
        <v>12300000</v>
      </c>
      <c r="R4" s="10">
        <f>'Sales Plan'!R18</f>
        <v>14200000</v>
      </c>
      <c r="S4" s="10">
        <f>'Sales Plan'!S18</f>
        <v>15700000</v>
      </c>
      <c r="T4" s="10">
        <f>'Sales Plan'!T18</f>
        <v>18000000</v>
      </c>
    </row>
    <row r="5" spans="1:20" s="12" customFormat="1" ht="15" customHeight="1">
      <c r="A5" s="3"/>
      <c r="B5" s="4" t="s">
        <v>141</v>
      </c>
      <c r="C5" s="9" t="s">
        <v>93</v>
      </c>
      <c r="D5" s="9"/>
      <c r="E5" s="10">
        <f>'Sales Plan'!E23</f>
        <v>0</v>
      </c>
      <c r="F5" s="10">
        <f>'Sales Plan'!F23</f>
        <v>7500</v>
      </c>
      <c r="G5" s="10">
        <f>'Sales Plan'!G23</f>
        <v>24375</v>
      </c>
      <c r="H5" s="10">
        <f>'Sales Plan'!H23</f>
        <v>55781.25</v>
      </c>
      <c r="I5" s="10">
        <f>'Sales Plan'!I23</f>
        <v>107085.9375</v>
      </c>
      <c r="J5" s="10">
        <f>'Sales Plan'!J23</f>
        <v>178189.453125</v>
      </c>
      <c r="K5" s="10">
        <f>'Sales Plan'!K23</f>
        <v>264142.08984375</v>
      </c>
      <c r="L5" s="10">
        <f>'Sales Plan'!L23</f>
        <v>361231.5673828125</v>
      </c>
      <c r="M5" s="10">
        <f>'Sales Plan'!M23</f>
        <v>473798.6755371094</v>
      </c>
      <c r="N5" s="10">
        <f>'Sales Plan'!N23</f>
        <v>632849.006652832</v>
      </c>
      <c r="O5" s="10">
        <f>'Sales Plan'!O23</f>
        <v>842136.754989624</v>
      </c>
      <c r="P5" s="10">
        <f>'Sales Plan'!P23</f>
        <v>1089102.566242218</v>
      </c>
      <c r="Q5" s="10">
        <f>'Sales Plan'!Q23</f>
        <v>1278076.9246816635</v>
      </c>
      <c r="R5" s="10">
        <f>'Sales Plan'!R23</f>
        <v>1491057.6935112476</v>
      </c>
      <c r="S5" s="10">
        <f>'Sales Plan'!S23</f>
        <v>1707043.2701334357</v>
      </c>
      <c r="T5" s="10">
        <f>'Sales Plan'!T23</f>
        <v>1955282.4526000768</v>
      </c>
    </row>
    <row r="6" spans="2:20" s="3" customFormat="1" ht="15" customHeight="1">
      <c r="B6" s="6" t="s">
        <v>142</v>
      </c>
      <c r="C6" s="8"/>
      <c r="D6" s="8"/>
      <c r="E6" s="22">
        <f aca="true" t="shared" si="0" ref="E6:T6">SUM(E4:E5)</f>
        <v>0</v>
      </c>
      <c r="F6" s="22">
        <f t="shared" si="0"/>
        <v>207500</v>
      </c>
      <c r="G6" s="22">
        <f t="shared" si="0"/>
        <v>524375</v>
      </c>
      <c r="H6" s="22">
        <f t="shared" si="0"/>
        <v>1055781.25</v>
      </c>
      <c r="I6" s="22">
        <f t="shared" si="0"/>
        <v>1847085.9375</v>
      </c>
      <c r="J6" s="22">
        <f t="shared" si="0"/>
        <v>2788189.453125</v>
      </c>
      <c r="K6" s="22">
        <f t="shared" si="0"/>
        <v>3744142.08984375</v>
      </c>
      <c r="L6" s="22">
        <f t="shared" si="0"/>
        <v>4711231.5673828125</v>
      </c>
      <c r="M6" s="22">
        <f t="shared" si="0"/>
        <v>5883798.675537109</v>
      </c>
      <c r="N6" s="22">
        <f t="shared" si="0"/>
        <v>8032849.006652832</v>
      </c>
      <c r="O6" s="22">
        <f t="shared" si="0"/>
        <v>10642136.754989624</v>
      </c>
      <c r="P6" s="22">
        <f t="shared" si="0"/>
        <v>13289102.566242218</v>
      </c>
      <c r="Q6" s="22">
        <f t="shared" si="0"/>
        <v>13578076.924681664</v>
      </c>
      <c r="R6" s="22">
        <f t="shared" si="0"/>
        <v>15691057.693511248</v>
      </c>
      <c r="S6" s="22">
        <f t="shared" si="0"/>
        <v>17407043.270133436</v>
      </c>
      <c r="T6" s="22">
        <f t="shared" si="0"/>
        <v>19955282.452600077</v>
      </c>
    </row>
    <row r="7" spans="5:20" ht="15" customHeight="1"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5" customHeight="1">
      <c r="A8" s="3" t="s">
        <v>75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2" customFormat="1" ht="15" customHeight="1">
      <c r="A9" s="3"/>
      <c r="B9" s="4" t="s">
        <v>143</v>
      </c>
      <c r="C9" s="9" t="s">
        <v>146</v>
      </c>
      <c r="D9" s="9"/>
      <c r="E9" s="10">
        <f>COGS!E36</f>
        <v>84000</v>
      </c>
      <c r="F9" s="10">
        <f>COGS!F36</f>
        <v>114000</v>
      </c>
      <c r="G9" s="10">
        <f>COGS!G36</f>
        <v>146500</v>
      </c>
      <c r="H9" s="10">
        <f>COGS!H36</f>
        <v>253562.5</v>
      </c>
      <c r="I9" s="10">
        <f>COGS!I36</f>
        <v>492575</v>
      </c>
      <c r="J9" s="10">
        <f>COGS!J36</f>
        <v>698537.5</v>
      </c>
      <c r="K9" s="10">
        <f>COGS!K36</f>
        <v>828800</v>
      </c>
      <c r="L9" s="10">
        <f>COGS!L36</f>
        <v>989375</v>
      </c>
      <c r="M9" s="10">
        <f>COGS!M36</f>
        <v>1514062.5</v>
      </c>
      <c r="N9" s="10">
        <f>COGS!N36</f>
        <v>2013387.5</v>
      </c>
      <c r="O9" s="10">
        <f>COGS!O36</f>
        <v>2613062.5</v>
      </c>
      <c r="P9" s="10">
        <f>COGS!P36</f>
        <v>3225587.5</v>
      </c>
      <c r="Q9" s="10">
        <f>COGS!Q36</f>
        <v>3676487.5</v>
      </c>
      <c r="R9" s="10">
        <f>COGS!R36</f>
        <v>4013375</v>
      </c>
      <c r="S9" s="10">
        <f>COGS!S36</f>
        <v>4052212.5</v>
      </c>
      <c r="T9" s="10">
        <f>COGS!T36</f>
        <v>4474325</v>
      </c>
    </row>
    <row r="10" spans="1:20" s="12" customFormat="1" ht="15" customHeight="1">
      <c r="A10" s="3"/>
      <c r="B10" s="4" t="s">
        <v>152</v>
      </c>
      <c r="C10" s="9" t="s">
        <v>147</v>
      </c>
      <c r="D10" s="9"/>
      <c r="E10" s="10">
        <f>COGS!E51</f>
        <v>75900</v>
      </c>
      <c r="F10" s="10">
        <f>COGS!F51</f>
        <v>77900</v>
      </c>
      <c r="G10" s="10">
        <f>COGS!G51</f>
        <v>82400</v>
      </c>
      <c r="H10" s="10">
        <f>COGS!H51</f>
        <v>90775</v>
      </c>
      <c r="I10" s="10">
        <f>COGS!I51</f>
        <v>153161.25</v>
      </c>
      <c r="J10" s="10">
        <f>COGS!J51</f>
        <v>174252.1875</v>
      </c>
      <c r="K10" s="10">
        <f>COGS!K51</f>
        <v>199302.890625</v>
      </c>
      <c r="L10" s="10">
        <f>COGS!L51</f>
        <v>227323.41796875</v>
      </c>
      <c r="M10" s="10">
        <f>COGS!M51</f>
        <v>259471.3134765625</v>
      </c>
      <c r="N10" s="10">
        <f>COGS!N51</f>
        <v>304014.7351074219</v>
      </c>
      <c r="O10" s="10">
        <f>COGS!O51</f>
        <v>361954.8013305664</v>
      </c>
      <c r="P10" s="10">
        <f>COGS!P51</f>
        <v>429942.3509979248</v>
      </c>
      <c r="Q10" s="10">
        <f>COGS!Q51</f>
        <v>482465.5132484436</v>
      </c>
      <c r="R10" s="10">
        <f>COGS!R51</f>
        <v>541390.3849363327</v>
      </c>
      <c r="S10" s="10">
        <f>COGS!S51</f>
        <v>601116.5387022495</v>
      </c>
      <c r="T10" s="10">
        <f>COGS!T51</f>
        <v>669443.6540266871</v>
      </c>
    </row>
    <row r="11" spans="2:20" ht="15" customHeight="1">
      <c r="B11" s="6" t="s">
        <v>148</v>
      </c>
      <c r="C11" s="9"/>
      <c r="D11" s="9"/>
      <c r="E11" s="22">
        <f>SUM(E9:E10)</f>
        <v>159900</v>
      </c>
      <c r="F11" s="22">
        <f aca="true" t="shared" si="1" ref="F11:T11">SUM(F9:F10)</f>
        <v>191900</v>
      </c>
      <c r="G11" s="22">
        <f t="shared" si="1"/>
        <v>228900</v>
      </c>
      <c r="H11" s="22">
        <f t="shared" si="1"/>
        <v>344337.5</v>
      </c>
      <c r="I11" s="22">
        <f t="shared" si="1"/>
        <v>645736.25</v>
      </c>
      <c r="J11" s="22">
        <f t="shared" si="1"/>
        <v>872789.6875</v>
      </c>
      <c r="K11" s="22">
        <f t="shared" si="1"/>
        <v>1028102.890625</v>
      </c>
      <c r="L11" s="22">
        <f t="shared" si="1"/>
        <v>1216698.41796875</v>
      </c>
      <c r="M11" s="22">
        <f t="shared" si="1"/>
        <v>1773533.8134765625</v>
      </c>
      <c r="N11" s="22">
        <f t="shared" si="1"/>
        <v>2317402.235107422</v>
      </c>
      <c r="O11" s="22">
        <f t="shared" si="1"/>
        <v>2975017.3013305664</v>
      </c>
      <c r="P11" s="22">
        <f t="shared" si="1"/>
        <v>3655529.850997925</v>
      </c>
      <c r="Q11" s="22">
        <f t="shared" si="1"/>
        <v>4158953.0132484436</v>
      </c>
      <c r="R11" s="22">
        <f t="shared" si="1"/>
        <v>4554765.384936333</v>
      </c>
      <c r="S11" s="22">
        <f t="shared" si="1"/>
        <v>4653329.0387022495</v>
      </c>
      <c r="T11" s="22">
        <f t="shared" si="1"/>
        <v>5143768.654026687</v>
      </c>
    </row>
    <row r="12" spans="1:20" ht="15" customHeight="1">
      <c r="A12" s="3" t="s">
        <v>59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3" customFormat="1" ht="15" customHeight="1">
      <c r="A13" s="3" t="s">
        <v>115</v>
      </c>
      <c r="B13" s="6"/>
      <c r="C13" s="8"/>
      <c r="D13" s="8"/>
      <c r="E13" s="16">
        <f>E6-E9</f>
        <v>-84000</v>
      </c>
      <c r="F13" s="16">
        <f aca="true" t="shared" si="2" ref="F13:T13">F6-F9</f>
        <v>93500</v>
      </c>
      <c r="G13" s="16">
        <f t="shared" si="2"/>
        <v>377875</v>
      </c>
      <c r="H13" s="16">
        <f t="shared" si="2"/>
        <v>802218.75</v>
      </c>
      <c r="I13" s="16">
        <f t="shared" si="2"/>
        <v>1354510.9375</v>
      </c>
      <c r="J13" s="16">
        <f t="shared" si="2"/>
        <v>2089651.953125</v>
      </c>
      <c r="K13" s="16">
        <f t="shared" si="2"/>
        <v>2915342.08984375</v>
      </c>
      <c r="L13" s="16">
        <f t="shared" si="2"/>
        <v>3721856.5673828125</v>
      </c>
      <c r="M13" s="16">
        <f t="shared" si="2"/>
        <v>4369736.175537109</v>
      </c>
      <c r="N13" s="16">
        <f t="shared" si="2"/>
        <v>6019461.506652832</v>
      </c>
      <c r="O13" s="16">
        <f t="shared" si="2"/>
        <v>8029074.254989624</v>
      </c>
      <c r="P13" s="16">
        <f t="shared" si="2"/>
        <v>10063515.066242218</v>
      </c>
      <c r="Q13" s="16">
        <f t="shared" si="2"/>
        <v>9901589.424681664</v>
      </c>
      <c r="R13" s="16">
        <f t="shared" si="2"/>
        <v>11677682.693511248</v>
      </c>
      <c r="S13" s="16">
        <f t="shared" si="2"/>
        <v>13354830.770133436</v>
      </c>
      <c r="T13" s="16">
        <f t="shared" si="2"/>
        <v>15480957.452600077</v>
      </c>
    </row>
    <row r="14" spans="5:20" ht="15" customHeight="1"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5" customHeight="1">
      <c r="A15" s="3" t="s">
        <v>76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5" customHeight="1">
      <c r="A16" s="3"/>
      <c r="B16" s="4" t="s">
        <v>57</v>
      </c>
      <c r="C16" s="9" t="s">
        <v>76</v>
      </c>
      <c r="D16" s="9"/>
      <c r="E16" s="10">
        <f>Expenses!E7</f>
        <v>230000</v>
      </c>
      <c r="F16" s="10">
        <f>Expenses!F7</f>
        <v>426937.5</v>
      </c>
      <c r="G16" s="10">
        <f>Expenses!G7</f>
        <v>497812.5</v>
      </c>
      <c r="H16" s="10">
        <f>Expenses!H7</f>
        <v>591937.5</v>
      </c>
      <c r="I16" s="10">
        <f>Expenses!I7</f>
        <v>731362.5</v>
      </c>
      <c r="J16" s="10">
        <f>Expenses!J7</f>
        <v>914250</v>
      </c>
      <c r="K16" s="10">
        <f>Expenses!K7</f>
        <v>1009175</v>
      </c>
      <c r="L16" s="10">
        <f>Expenses!L7</f>
        <v>1170075</v>
      </c>
      <c r="M16" s="10">
        <f>Expenses!M7</f>
        <v>1414187.5</v>
      </c>
      <c r="N16" s="10">
        <f>Expenses!N7</f>
        <v>1612812.5</v>
      </c>
      <c r="O16" s="10">
        <f>Expenses!O7</f>
        <v>1861150</v>
      </c>
      <c r="P16" s="10">
        <f>Expenses!P7</f>
        <v>1797200</v>
      </c>
      <c r="Q16" s="10">
        <f>Expenses!Q7</f>
        <v>2400162.5</v>
      </c>
      <c r="R16" s="10">
        <f>Expenses!R7</f>
        <v>2663937.5</v>
      </c>
      <c r="S16" s="10">
        <f>Expenses!S7</f>
        <v>2979925</v>
      </c>
      <c r="T16" s="10">
        <f>Expenses!T7</f>
        <v>3371637.5000000005</v>
      </c>
    </row>
    <row r="17" spans="1:20" s="12" customFormat="1" ht="15" customHeight="1">
      <c r="A17" s="3"/>
      <c r="B17" s="4" t="s">
        <v>63</v>
      </c>
      <c r="C17" s="9" t="s">
        <v>76</v>
      </c>
      <c r="D17" s="9"/>
      <c r="E17" s="10">
        <f>Expenses!E14</f>
        <v>132812.5</v>
      </c>
      <c r="F17" s="10">
        <f>Expenses!F14</f>
        <v>157812.5</v>
      </c>
      <c r="G17" s="10">
        <f>Expenses!G14</f>
        <v>213875</v>
      </c>
      <c r="H17" s="10">
        <f>Expenses!H14</f>
        <v>306875</v>
      </c>
      <c r="I17" s="10">
        <f>Expenses!I14</f>
        <v>367162.5</v>
      </c>
      <c r="J17" s="10">
        <f>Expenses!J14</f>
        <v>496387.5</v>
      </c>
      <c r="K17" s="10">
        <f>Expenses!K14</f>
        <v>506112.5</v>
      </c>
      <c r="L17" s="10">
        <f>Expenses!L14</f>
        <v>706337.5</v>
      </c>
      <c r="M17" s="10">
        <f>Expenses!M14</f>
        <v>667500</v>
      </c>
      <c r="N17" s="10">
        <f>Expenses!N14</f>
        <v>924100</v>
      </c>
      <c r="O17" s="10">
        <f>Expenses!O14</f>
        <v>799887.5</v>
      </c>
      <c r="P17" s="10">
        <f>Expenses!P14</f>
        <v>1056862.5</v>
      </c>
      <c r="Q17" s="10">
        <f>Expenses!Q14</f>
        <v>975275</v>
      </c>
      <c r="R17" s="10">
        <f>Expenses!R14</f>
        <v>1339625</v>
      </c>
      <c r="S17" s="10">
        <f>Expenses!S14</f>
        <v>1279462.5</v>
      </c>
      <c r="T17" s="10">
        <f>Expenses!T14</f>
        <v>1674387.5</v>
      </c>
    </row>
    <row r="18" spans="1:20" s="12" customFormat="1" ht="15" customHeight="1">
      <c r="A18" s="3"/>
      <c r="B18" s="4" t="s">
        <v>67</v>
      </c>
      <c r="C18" s="9" t="s">
        <v>76</v>
      </c>
      <c r="D18" s="9"/>
      <c r="E18" s="10">
        <f>Expenses!E21</f>
        <v>160562.5</v>
      </c>
      <c r="F18" s="10">
        <f>Expenses!F21</f>
        <v>240250</v>
      </c>
      <c r="G18" s="10">
        <f>Expenses!G21</f>
        <v>411000</v>
      </c>
      <c r="H18" s="10">
        <f>Expenses!H21</f>
        <v>504687.49999999994</v>
      </c>
      <c r="I18" s="10">
        <f>Expenses!I21</f>
        <v>623450</v>
      </c>
      <c r="J18" s="10">
        <f>Expenses!J21</f>
        <v>809925</v>
      </c>
      <c r="K18" s="10">
        <f>Expenses!K21</f>
        <v>871900</v>
      </c>
      <c r="L18" s="10">
        <f>Expenses!L21</f>
        <v>1065375</v>
      </c>
      <c r="M18" s="10">
        <f>Expenses!M21</f>
        <v>1126050</v>
      </c>
      <c r="N18" s="10">
        <f>Expenses!N21</f>
        <v>1360125</v>
      </c>
      <c r="O18" s="10">
        <f>Expenses!O21</f>
        <v>1637125</v>
      </c>
      <c r="P18" s="10">
        <f>Expenses!P21</f>
        <v>1892750</v>
      </c>
      <c r="Q18" s="10">
        <f>Expenses!Q21</f>
        <v>2110500</v>
      </c>
      <c r="R18" s="10">
        <f>Expenses!R21</f>
        <v>2360375</v>
      </c>
      <c r="S18" s="10">
        <f>Expenses!S21</f>
        <v>2629875</v>
      </c>
      <c r="T18" s="10">
        <f>Expenses!T21</f>
        <v>2901000</v>
      </c>
    </row>
    <row r="19" spans="1:20" s="12" customFormat="1" ht="15" customHeight="1">
      <c r="A19" s="3"/>
      <c r="B19" s="4" t="s">
        <v>94</v>
      </c>
      <c r="C19" s="9" t="s">
        <v>76</v>
      </c>
      <c r="D19" s="9"/>
      <c r="E19" s="23">
        <f>Expenses!E29</f>
        <v>213012.5</v>
      </c>
      <c r="F19" s="23">
        <f>Expenses!F29</f>
        <v>243537.5</v>
      </c>
      <c r="G19" s="23">
        <f>Expenses!G29</f>
        <v>313237.5</v>
      </c>
      <c r="H19" s="23">
        <f>Expenses!H29</f>
        <v>321837.5</v>
      </c>
      <c r="I19" s="23">
        <f>Expenses!I29</f>
        <v>505862.5</v>
      </c>
      <c r="J19" s="23">
        <f>Expenses!J29</f>
        <v>516087.5</v>
      </c>
      <c r="K19" s="23">
        <f>Expenses!K29</f>
        <v>564437.5</v>
      </c>
      <c r="L19" s="23">
        <f>Expenses!L29</f>
        <v>574712.5</v>
      </c>
      <c r="M19" s="23">
        <f>Expenses!M29</f>
        <v>834887.5</v>
      </c>
      <c r="N19" s="23">
        <f>Expenses!N29</f>
        <v>846762.5</v>
      </c>
      <c r="O19" s="23">
        <f>Expenses!O29</f>
        <v>926137.5</v>
      </c>
      <c r="P19" s="23">
        <f>Expenses!P29</f>
        <v>985462.5</v>
      </c>
      <c r="Q19" s="23">
        <f>Expenses!Q29</f>
        <v>1128137.5</v>
      </c>
      <c r="R19" s="23">
        <f>Expenses!R29</f>
        <v>1233062.5</v>
      </c>
      <c r="S19" s="23">
        <f>Expenses!S29</f>
        <v>1322137.5</v>
      </c>
      <c r="T19" s="23">
        <f>Expenses!T29</f>
        <v>1454912.5</v>
      </c>
    </row>
    <row r="20" spans="2:20" s="3" customFormat="1" ht="15" customHeight="1">
      <c r="B20" s="6" t="s">
        <v>103</v>
      </c>
      <c r="C20" s="8"/>
      <c r="D20" s="8"/>
      <c r="E20" s="16">
        <f>SUM(E16:E19)</f>
        <v>736387.5</v>
      </c>
      <c r="F20" s="16">
        <f aca="true" t="shared" si="3" ref="F20:T20">SUM(F16:F19)</f>
        <v>1068537.5</v>
      </c>
      <c r="G20" s="16">
        <f t="shared" si="3"/>
        <v>1435925</v>
      </c>
      <c r="H20" s="16">
        <f t="shared" si="3"/>
        <v>1725337.5</v>
      </c>
      <c r="I20" s="16">
        <f t="shared" si="3"/>
        <v>2227837.5</v>
      </c>
      <c r="J20" s="16">
        <f t="shared" si="3"/>
        <v>2736650</v>
      </c>
      <c r="K20" s="16">
        <f t="shared" si="3"/>
        <v>2951625</v>
      </c>
      <c r="L20" s="16">
        <f t="shared" si="3"/>
        <v>3516500</v>
      </c>
      <c r="M20" s="16">
        <f t="shared" si="3"/>
        <v>4042625</v>
      </c>
      <c r="N20" s="16">
        <f t="shared" si="3"/>
        <v>4743800</v>
      </c>
      <c r="O20" s="16">
        <f t="shared" si="3"/>
        <v>5224300</v>
      </c>
      <c r="P20" s="16">
        <f t="shared" si="3"/>
        <v>5732275</v>
      </c>
      <c r="Q20" s="16">
        <f t="shared" si="3"/>
        <v>6614075</v>
      </c>
      <c r="R20" s="16">
        <f t="shared" si="3"/>
        <v>7597000</v>
      </c>
      <c r="S20" s="16">
        <f t="shared" si="3"/>
        <v>8211400</v>
      </c>
      <c r="T20" s="16">
        <f t="shared" si="3"/>
        <v>9401937.5</v>
      </c>
    </row>
    <row r="21" spans="5:20" ht="15" customHeight="1"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5" customHeight="1" thickBot="1">
      <c r="A22" s="3" t="s">
        <v>116</v>
      </c>
      <c r="E22" s="19">
        <f>E13-E20</f>
        <v>-820387.5</v>
      </c>
      <c r="F22" s="19">
        <f aca="true" t="shared" si="4" ref="F22:T22">F13-F20</f>
        <v>-975037.5</v>
      </c>
      <c r="G22" s="19">
        <f t="shared" si="4"/>
        <v>-1058050</v>
      </c>
      <c r="H22" s="19">
        <f t="shared" si="4"/>
        <v>-923118.75</v>
      </c>
      <c r="I22" s="19">
        <f t="shared" si="4"/>
        <v>-873326.5625</v>
      </c>
      <c r="J22" s="19">
        <f t="shared" si="4"/>
        <v>-646998.046875</v>
      </c>
      <c r="K22" s="19">
        <f t="shared" si="4"/>
        <v>-36282.91015625</v>
      </c>
      <c r="L22" s="19">
        <f t="shared" si="4"/>
        <v>205356.5673828125</v>
      </c>
      <c r="M22" s="19">
        <f t="shared" si="4"/>
        <v>327111.1755371094</v>
      </c>
      <c r="N22" s="19">
        <f t="shared" si="4"/>
        <v>1275661.506652832</v>
      </c>
      <c r="O22" s="19">
        <f t="shared" si="4"/>
        <v>2804774.254989624</v>
      </c>
      <c r="P22" s="19">
        <f t="shared" si="4"/>
        <v>4331240.066242218</v>
      </c>
      <c r="Q22" s="19">
        <f t="shared" si="4"/>
        <v>3287514.4246816635</v>
      </c>
      <c r="R22" s="19">
        <f t="shared" si="4"/>
        <v>4080682.6935112476</v>
      </c>
      <c r="S22" s="19">
        <f t="shared" si="4"/>
        <v>5143430.770133436</v>
      </c>
      <c r="T22" s="19">
        <f t="shared" si="4"/>
        <v>6079019.952600077</v>
      </c>
    </row>
    <row r="23" ht="15" customHeight="1" thickTop="1"/>
    <row r="24" ht="15" customHeight="1">
      <c r="T24" s="24">
        <f>S6-T11-T20</f>
        <v>2861337.1161067486</v>
      </c>
    </row>
  </sheetData>
  <sheetProtection/>
  <printOptions gridLines="1" horizontalCentered="1"/>
  <pageMargins left="0.25" right="0.25" top="1" bottom="1" header="0.5" footer="0.5"/>
  <pageSetup horizontalDpi="300" verticalDpi="300" orientation="landscape"/>
  <headerFooter alignWithMargins="0">
    <oddFooter>&amp;L&amp;A&amp;CPage &amp;P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50" zoomScaleNormal="15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L28"/>
    </sheetView>
  </sheetViews>
  <sheetFormatPr defaultColWidth="9.00390625" defaultRowHeight="15.75" customHeight="1"/>
  <cols>
    <col min="1" max="1" width="4.00390625" style="3" customWidth="1"/>
    <col min="2" max="2" width="18.00390625" style="4" customWidth="1"/>
    <col min="3" max="3" width="5.57421875" style="8" bestFit="1" customWidth="1"/>
    <col min="4" max="4" width="2.421875" style="8" customWidth="1"/>
    <col min="5" max="5" width="6.140625" style="5" bestFit="1" customWidth="1"/>
    <col min="6" max="7" width="9.421875" style="5" bestFit="1" customWidth="1"/>
    <col min="8" max="11" width="10.8515625" style="5" bestFit="1" customWidth="1"/>
    <col min="12" max="19" width="11.57421875" style="5" bestFit="1" customWidth="1"/>
    <col min="20" max="20" width="12.57421875" style="5" bestFit="1" customWidth="1"/>
    <col min="21" max="34" width="6.00390625" style="5" customWidth="1"/>
    <col min="35" max="16384" width="9.00390625" style="5" customWidth="1"/>
  </cols>
  <sheetData>
    <row r="1" spans="1:20" s="6" customFormat="1" ht="15.75" customHeight="1">
      <c r="A1" s="21" t="s">
        <v>93</v>
      </c>
      <c r="C1" s="7" t="s">
        <v>92</v>
      </c>
      <c r="D1" s="7"/>
      <c r="E1" s="6" t="s">
        <v>119</v>
      </c>
      <c r="F1" s="6" t="s">
        <v>120</v>
      </c>
      <c r="G1" s="6" t="s">
        <v>121</v>
      </c>
      <c r="H1" s="6" t="s">
        <v>122</v>
      </c>
      <c r="I1" s="6" t="s">
        <v>119</v>
      </c>
      <c r="J1" s="6" t="s">
        <v>120</v>
      </c>
      <c r="K1" s="6" t="s">
        <v>121</v>
      </c>
      <c r="L1" s="6" t="s">
        <v>122</v>
      </c>
      <c r="M1" s="6" t="s">
        <v>119</v>
      </c>
      <c r="N1" s="6" t="s">
        <v>120</v>
      </c>
      <c r="O1" s="6" t="s">
        <v>121</v>
      </c>
      <c r="P1" s="6" t="s">
        <v>122</v>
      </c>
      <c r="Q1" s="6" t="s">
        <v>119</v>
      </c>
      <c r="R1" s="6" t="s">
        <v>120</v>
      </c>
      <c r="S1" s="6" t="s">
        <v>121</v>
      </c>
      <c r="T1" s="6" t="s">
        <v>122</v>
      </c>
    </row>
    <row r="2" spans="5:20" s="6" customFormat="1" ht="15.75" customHeight="1">
      <c r="E2" s="6" t="s">
        <v>79</v>
      </c>
      <c r="F2" s="6" t="s">
        <v>79</v>
      </c>
      <c r="G2" s="6" t="s">
        <v>79</v>
      </c>
      <c r="H2" s="6" t="s">
        <v>79</v>
      </c>
      <c r="I2" s="6" t="s">
        <v>86</v>
      </c>
      <c r="J2" s="6" t="s">
        <v>86</v>
      </c>
      <c r="K2" s="6" t="s">
        <v>86</v>
      </c>
      <c r="L2" s="6" t="s">
        <v>86</v>
      </c>
      <c r="M2" s="6" t="s">
        <v>87</v>
      </c>
      <c r="N2" s="6" t="s">
        <v>87</v>
      </c>
      <c r="O2" s="6" t="s">
        <v>87</v>
      </c>
      <c r="P2" s="6" t="s">
        <v>87</v>
      </c>
      <c r="Q2" s="6" t="s">
        <v>88</v>
      </c>
      <c r="R2" s="6" t="s">
        <v>88</v>
      </c>
      <c r="S2" s="6" t="s">
        <v>88</v>
      </c>
      <c r="T2" s="6" t="s">
        <v>88</v>
      </c>
    </row>
    <row r="3" ht="15.75" customHeight="1">
      <c r="A3" s="3" t="s">
        <v>158</v>
      </c>
    </row>
    <row r="4" spans="1:20" s="34" customFormat="1" ht="15.75" customHeight="1">
      <c r="A4" s="3"/>
      <c r="B4" s="4" t="s">
        <v>80</v>
      </c>
      <c r="C4" s="40" t="s">
        <v>84</v>
      </c>
      <c r="D4" s="40"/>
      <c r="E4" s="29">
        <v>0</v>
      </c>
      <c r="F4" s="29">
        <v>20</v>
      </c>
      <c r="G4" s="29">
        <v>50</v>
      </c>
      <c r="H4" s="29">
        <v>100</v>
      </c>
      <c r="I4" s="29">
        <v>200</v>
      </c>
      <c r="J4" s="29">
        <v>300</v>
      </c>
      <c r="K4" s="29">
        <v>400</v>
      </c>
      <c r="L4" s="29">
        <v>500</v>
      </c>
      <c r="M4" s="29">
        <v>750</v>
      </c>
      <c r="N4" s="29">
        <v>1000</v>
      </c>
      <c r="O4" s="29">
        <v>1250</v>
      </c>
      <c r="P4" s="29">
        <v>1500</v>
      </c>
      <c r="Q4" s="29">
        <v>1500</v>
      </c>
      <c r="R4" s="29">
        <v>1400</v>
      </c>
      <c r="S4" s="29">
        <v>1300</v>
      </c>
      <c r="T4" s="29">
        <v>1200</v>
      </c>
    </row>
    <row r="5" spans="1:20" s="34" customFormat="1" ht="15.75" customHeight="1">
      <c r="A5" s="3"/>
      <c r="B5" s="4" t="s">
        <v>81</v>
      </c>
      <c r="C5" s="40" t="s">
        <v>84</v>
      </c>
      <c r="D5" s="40"/>
      <c r="E5" s="29">
        <v>0</v>
      </c>
      <c r="F5" s="29">
        <v>0</v>
      </c>
      <c r="G5" s="29">
        <v>0</v>
      </c>
      <c r="H5" s="29">
        <v>0</v>
      </c>
      <c r="I5" s="29">
        <v>20</v>
      </c>
      <c r="J5" s="29">
        <v>30</v>
      </c>
      <c r="K5" s="29">
        <v>40</v>
      </c>
      <c r="L5" s="29">
        <v>50</v>
      </c>
      <c r="M5" s="29">
        <v>75</v>
      </c>
      <c r="N5" s="29">
        <v>100</v>
      </c>
      <c r="O5" s="29">
        <v>150</v>
      </c>
      <c r="P5" s="29">
        <v>200</v>
      </c>
      <c r="Q5" s="29">
        <v>400</v>
      </c>
      <c r="R5" s="29">
        <v>600</v>
      </c>
      <c r="S5" s="29">
        <v>750</v>
      </c>
      <c r="T5" s="29">
        <v>1000</v>
      </c>
    </row>
    <row r="6" spans="1:20" s="34" customFormat="1" ht="15.75" customHeight="1">
      <c r="A6" s="3"/>
      <c r="B6" s="4" t="s">
        <v>82</v>
      </c>
      <c r="C6" s="40" t="s">
        <v>84</v>
      </c>
      <c r="D6" s="40"/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10</v>
      </c>
      <c r="N6" s="35">
        <v>25</v>
      </c>
      <c r="O6" s="35">
        <v>50</v>
      </c>
      <c r="P6" s="35">
        <v>75</v>
      </c>
      <c r="Q6" s="35">
        <v>100</v>
      </c>
      <c r="R6" s="35">
        <v>150</v>
      </c>
      <c r="S6" s="35">
        <v>200</v>
      </c>
      <c r="T6" s="35">
        <v>250</v>
      </c>
    </row>
    <row r="7" spans="2:20" ht="15.75" customHeight="1">
      <c r="B7" s="4" t="s">
        <v>55</v>
      </c>
      <c r="E7" s="27">
        <f aca="true" t="shared" si="0" ref="E7:T7">SUM(E4:E6)</f>
        <v>0</v>
      </c>
      <c r="F7" s="27">
        <f t="shared" si="0"/>
        <v>20</v>
      </c>
      <c r="G7" s="27">
        <f t="shared" si="0"/>
        <v>50</v>
      </c>
      <c r="H7" s="27">
        <f t="shared" si="0"/>
        <v>100</v>
      </c>
      <c r="I7" s="27">
        <f t="shared" si="0"/>
        <v>220</v>
      </c>
      <c r="J7" s="27">
        <f t="shared" si="0"/>
        <v>330</v>
      </c>
      <c r="K7" s="27">
        <f t="shared" si="0"/>
        <v>440</v>
      </c>
      <c r="L7" s="27">
        <f t="shared" si="0"/>
        <v>550</v>
      </c>
      <c r="M7" s="27">
        <f t="shared" si="0"/>
        <v>835</v>
      </c>
      <c r="N7" s="27">
        <f t="shared" si="0"/>
        <v>1125</v>
      </c>
      <c r="O7" s="27">
        <f t="shared" si="0"/>
        <v>1450</v>
      </c>
      <c r="P7" s="27">
        <f t="shared" si="0"/>
        <v>1775</v>
      </c>
      <c r="Q7" s="27">
        <f t="shared" si="0"/>
        <v>2000</v>
      </c>
      <c r="R7" s="27">
        <f t="shared" si="0"/>
        <v>2150</v>
      </c>
      <c r="S7" s="27">
        <f t="shared" si="0"/>
        <v>2250</v>
      </c>
      <c r="T7" s="27">
        <f t="shared" si="0"/>
        <v>2450</v>
      </c>
    </row>
    <row r="8" spans="5:20" ht="15.75" customHeight="1"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15.75" customHeight="1">
      <c r="A9" s="3" t="s">
        <v>4</v>
      </c>
    </row>
    <row r="10" spans="1:20" s="34" customFormat="1" ht="15.75" customHeight="1">
      <c r="A10" s="3"/>
      <c r="B10" s="4" t="s">
        <v>80</v>
      </c>
      <c r="C10" s="40" t="s">
        <v>84</v>
      </c>
      <c r="D10" s="40"/>
      <c r="E10" s="41"/>
      <c r="F10" s="41">
        <v>10000</v>
      </c>
      <c r="G10" s="41">
        <v>10000</v>
      </c>
      <c r="H10" s="41">
        <v>10000</v>
      </c>
      <c r="I10" s="41">
        <v>7500</v>
      </c>
      <c r="J10" s="41">
        <v>7500</v>
      </c>
      <c r="K10" s="41">
        <v>7500</v>
      </c>
      <c r="L10" s="41">
        <v>7500</v>
      </c>
      <c r="M10" s="41">
        <v>6000</v>
      </c>
      <c r="N10" s="41">
        <v>6000</v>
      </c>
      <c r="O10" s="41">
        <v>6000</v>
      </c>
      <c r="P10" s="41">
        <v>6000</v>
      </c>
      <c r="Q10" s="41">
        <v>5000</v>
      </c>
      <c r="R10" s="41">
        <v>5000</v>
      </c>
      <c r="S10" s="41">
        <v>5000</v>
      </c>
      <c r="T10" s="41">
        <v>5000</v>
      </c>
    </row>
    <row r="11" spans="1:20" s="34" customFormat="1" ht="15.75" customHeight="1">
      <c r="A11" s="3"/>
      <c r="B11" s="4" t="s">
        <v>81</v>
      </c>
      <c r="C11" s="40" t="s">
        <v>84</v>
      </c>
      <c r="D11" s="40"/>
      <c r="E11" s="41"/>
      <c r="F11" s="41"/>
      <c r="G11" s="41"/>
      <c r="H11" s="41"/>
      <c r="I11" s="41">
        <v>12000</v>
      </c>
      <c r="J11" s="41">
        <v>12000</v>
      </c>
      <c r="K11" s="41">
        <v>12000</v>
      </c>
      <c r="L11" s="41">
        <v>12000</v>
      </c>
      <c r="M11" s="41">
        <v>10000</v>
      </c>
      <c r="N11" s="41">
        <v>10000</v>
      </c>
      <c r="O11" s="41">
        <v>10000</v>
      </c>
      <c r="P11" s="41">
        <v>10000</v>
      </c>
      <c r="Q11" s="41">
        <v>8000</v>
      </c>
      <c r="R11" s="41">
        <v>8000</v>
      </c>
      <c r="S11" s="41">
        <v>8000</v>
      </c>
      <c r="T11" s="41">
        <v>8000</v>
      </c>
    </row>
    <row r="12" spans="1:20" s="34" customFormat="1" ht="15.75" customHeight="1">
      <c r="A12" s="3"/>
      <c r="B12" s="4" t="s">
        <v>82</v>
      </c>
      <c r="C12" s="40" t="s">
        <v>84</v>
      </c>
      <c r="D12" s="40"/>
      <c r="E12" s="41"/>
      <c r="F12" s="41"/>
      <c r="G12" s="41"/>
      <c r="H12" s="41"/>
      <c r="I12" s="41"/>
      <c r="J12" s="41"/>
      <c r="K12" s="41"/>
      <c r="L12" s="41"/>
      <c r="M12" s="41">
        <v>16000</v>
      </c>
      <c r="N12" s="41">
        <v>16000</v>
      </c>
      <c r="O12" s="41">
        <v>16000</v>
      </c>
      <c r="P12" s="41">
        <v>16000</v>
      </c>
      <c r="Q12" s="41">
        <v>16000</v>
      </c>
      <c r="R12" s="41">
        <v>16000</v>
      </c>
      <c r="S12" s="41">
        <v>16000</v>
      </c>
      <c r="T12" s="41">
        <v>16000</v>
      </c>
    </row>
    <row r="13" spans="5:20" ht="15.75" customHeight="1"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3" ht="15.75" customHeight="1">
      <c r="A14" s="3" t="s">
        <v>5</v>
      </c>
      <c r="C14" s="7"/>
    </row>
    <row r="15" spans="1:20" s="34" customFormat="1" ht="15.75" customHeight="1">
      <c r="A15" s="3"/>
      <c r="B15" s="4" t="s">
        <v>80</v>
      </c>
      <c r="C15" s="41"/>
      <c r="D15" s="41"/>
      <c r="E15" s="30">
        <f>E4*E10</f>
        <v>0</v>
      </c>
      <c r="F15" s="30">
        <f aca="true" t="shared" si="1" ref="F15:T15">F4*F10</f>
        <v>200000</v>
      </c>
      <c r="G15" s="30">
        <f t="shared" si="1"/>
        <v>500000</v>
      </c>
      <c r="H15" s="30">
        <f t="shared" si="1"/>
        <v>1000000</v>
      </c>
      <c r="I15" s="30">
        <f t="shared" si="1"/>
        <v>1500000</v>
      </c>
      <c r="J15" s="30">
        <f t="shared" si="1"/>
        <v>2250000</v>
      </c>
      <c r="K15" s="30">
        <f t="shared" si="1"/>
        <v>3000000</v>
      </c>
      <c r="L15" s="30">
        <f t="shared" si="1"/>
        <v>3750000</v>
      </c>
      <c r="M15" s="30">
        <f t="shared" si="1"/>
        <v>4500000</v>
      </c>
      <c r="N15" s="30">
        <f t="shared" si="1"/>
        <v>6000000</v>
      </c>
      <c r="O15" s="30">
        <f t="shared" si="1"/>
        <v>7500000</v>
      </c>
      <c r="P15" s="30">
        <f t="shared" si="1"/>
        <v>9000000</v>
      </c>
      <c r="Q15" s="30">
        <f t="shared" si="1"/>
        <v>7500000</v>
      </c>
      <c r="R15" s="30">
        <f t="shared" si="1"/>
        <v>7000000</v>
      </c>
      <c r="S15" s="30">
        <f t="shared" si="1"/>
        <v>6500000</v>
      </c>
      <c r="T15" s="30">
        <f t="shared" si="1"/>
        <v>6000000</v>
      </c>
    </row>
    <row r="16" spans="1:20" s="34" customFormat="1" ht="15.75" customHeight="1">
      <c r="A16" s="3"/>
      <c r="B16" s="4" t="s">
        <v>81</v>
      </c>
      <c r="C16" s="41"/>
      <c r="D16" s="41"/>
      <c r="E16" s="30">
        <f aca="true" t="shared" si="2" ref="E16:T16">E5*E11</f>
        <v>0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0">
        <f t="shared" si="2"/>
        <v>240000</v>
      </c>
      <c r="J16" s="30">
        <f t="shared" si="2"/>
        <v>360000</v>
      </c>
      <c r="K16" s="30">
        <f t="shared" si="2"/>
        <v>480000</v>
      </c>
      <c r="L16" s="30">
        <f t="shared" si="2"/>
        <v>600000</v>
      </c>
      <c r="M16" s="30">
        <f t="shared" si="2"/>
        <v>750000</v>
      </c>
      <c r="N16" s="30">
        <f t="shared" si="2"/>
        <v>1000000</v>
      </c>
      <c r="O16" s="30">
        <f t="shared" si="2"/>
        <v>1500000</v>
      </c>
      <c r="P16" s="30">
        <f t="shared" si="2"/>
        <v>2000000</v>
      </c>
      <c r="Q16" s="30">
        <f t="shared" si="2"/>
        <v>3200000</v>
      </c>
      <c r="R16" s="30">
        <f t="shared" si="2"/>
        <v>4800000</v>
      </c>
      <c r="S16" s="30">
        <f t="shared" si="2"/>
        <v>6000000</v>
      </c>
      <c r="T16" s="30">
        <f t="shared" si="2"/>
        <v>8000000</v>
      </c>
    </row>
    <row r="17" spans="1:20" s="34" customFormat="1" ht="15.75" customHeight="1">
      <c r="A17" s="3"/>
      <c r="B17" s="4" t="s">
        <v>82</v>
      </c>
      <c r="C17" s="41"/>
      <c r="D17" s="41"/>
      <c r="E17" s="30">
        <f aca="true" t="shared" si="3" ref="E17:T17">E6*E12</f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30">
        <f t="shared" si="3"/>
        <v>0</v>
      </c>
      <c r="J17" s="30">
        <f t="shared" si="3"/>
        <v>0</v>
      </c>
      <c r="K17" s="30">
        <f t="shared" si="3"/>
        <v>0</v>
      </c>
      <c r="L17" s="30">
        <f t="shared" si="3"/>
        <v>0</v>
      </c>
      <c r="M17" s="30">
        <f t="shared" si="3"/>
        <v>160000</v>
      </c>
      <c r="N17" s="30">
        <f t="shared" si="3"/>
        <v>400000</v>
      </c>
      <c r="O17" s="30">
        <f t="shared" si="3"/>
        <v>800000</v>
      </c>
      <c r="P17" s="30">
        <f t="shared" si="3"/>
        <v>1200000</v>
      </c>
      <c r="Q17" s="30">
        <f t="shared" si="3"/>
        <v>1600000</v>
      </c>
      <c r="R17" s="30">
        <f t="shared" si="3"/>
        <v>2400000</v>
      </c>
      <c r="S17" s="30">
        <f t="shared" si="3"/>
        <v>3200000</v>
      </c>
      <c r="T17" s="30">
        <f t="shared" si="3"/>
        <v>4000000</v>
      </c>
    </row>
    <row r="18" spans="1:20" s="43" customFormat="1" ht="15.75" customHeight="1">
      <c r="A18" s="3"/>
      <c r="B18" s="6" t="s">
        <v>6</v>
      </c>
      <c r="C18" s="8"/>
      <c r="D18" s="8"/>
      <c r="E18" s="42">
        <f>SUM(E15:E17)</f>
        <v>0</v>
      </c>
      <c r="F18" s="42">
        <f aca="true" t="shared" si="4" ref="F18:T18">SUM(F15:F17)</f>
        <v>200000</v>
      </c>
      <c r="G18" s="42">
        <f t="shared" si="4"/>
        <v>500000</v>
      </c>
      <c r="H18" s="42">
        <f t="shared" si="4"/>
        <v>1000000</v>
      </c>
      <c r="I18" s="42">
        <f t="shared" si="4"/>
        <v>1740000</v>
      </c>
      <c r="J18" s="42">
        <f t="shared" si="4"/>
        <v>2610000</v>
      </c>
      <c r="K18" s="42">
        <f t="shared" si="4"/>
        <v>3480000</v>
      </c>
      <c r="L18" s="42">
        <f t="shared" si="4"/>
        <v>4350000</v>
      </c>
      <c r="M18" s="42">
        <f t="shared" si="4"/>
        <v>5410000</v>
      </c>
      <c r="N18" s="42">
        <f t="shared" si="4"/>
        <v>7400000</v>
      </c>
      <c r="O18" s="42">
        <f t="shared" si="4"/>
        <v>9800000</v>
      </c>
      <c r="P18" s="42">
        <f t="shared" si="4"/>
        <v>12200000</v>
      </c>
      <c r="Q18" s="42">
        <f t="shared" si="4"/>
        <v>12300000</v>
      </c>
      <c r="R18" s="42">
        <f t="shared" si="4"/>
        <v>14200000</v>
      </c>
      <c r="S18" s="42">
        <f t="shared" si="4"/>
        <v>15700000</v>
      </c>
      <c r="T18" s="42">
        <f t="shared" si="4"/>
        <v>18000000</v>
      </c>
    </row>
    <row r="19" spans="1:20" s="43" customFormat="1" ht="15.75" customHeight="1">
      <c r="A19" s="3"/>
      <c r="B19" s="6"/>
      <c r="C19" s="8"/>
      <c r="D19" s="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ht="15.75" customHeight="1">
      <c r="A20" s="3" t="s">
        <v>141</v>
      </c>
    </row>
    <row r="21" spans="2:20" ht="15.75" customHeight="1">
      <c r="B21" s="4" t="s">
        <v>7</v>
      </c>
      <c r="E21" s="24">
        <f>E18</f>
        <v>0</v>
      </c>
      <c r="F21" s="24">
        <f aca="true" t="shared" si="5" ref="F21:T21">E21+F18</f>
        <v>200000</v>
      </c>
      <c r="G21" s="24">
        <f t="shared" si="5"/>
        <v>700000</v>
      </c>
      <c r="H21" s="24">
        <f t="shared" si="5"/>
        <v>1700000</v>
      </c>
      <c r="I21" s="24">
        <f t="shared" si="5"/>
        <v>3440000</v>
      </c>
      <c r="J21" s="24">
        <f t="shared" si="5"/>
        <v>6050000</v>
      </c>
      <c r="K21" s="24">
        <f t="shared" si="5"/>
        <v>9530000</v>
      </c>
      <c r="L21" s="24">
        <f t="shared" si="5"/>
        <v>13880000</v>
      </c>
      <c r="M21" s="24">
        <f t="shared" si="5"/>
        <v>19290000</v>
      </c>
      <c r="N21" s="24">
        <f t="shared" si="5"/>
        <v>26690000</v>
      </c>
      <c r="O21" s="24">
        <f t="shared" si="5"/>
        <v>36490000</v>
      </c>
      <c r="P21" s="24">
        <f t="shared" si="5"/>
        <v>48690000</v>
      </c>
      <c r="Q21" s="24">
        <f t="shared" si="5"/>
        <v>60990000</v>
      </c>
      <c r="R21" s="24">
        <f t="shared" si="5"/>
        <v>75190000</v>
      </c>
      <c r="S21" s="24">
        <f t="shared" si="5"/>
        <v>90890000</v>
      </c>
      <c r="T21" s="24">
        <f t="shared" si="5"/>
        <v>108890000</v>
      </c>
    </row>
    <row r="22" spans="1:20" s="34" customFormat="1" ht="15.75" customHeight="1">
      <c r="A22" s="3"/>
      <c r="B22" s="4" t="s">
        <v>8</v>
      </c>
      <c r="C22" s="45">
        <v>0.75</v>
      </c>
      <c r="D22" s="46"/>
      <c r="E22" s="33">
        <f>E18</f>
        <v>0</v>
      </c>
      <c r="F22" s="33">
        <f aca="true" t="shared" si="6" ref="F22:T22">E22*$C22+F18</f>
        <v>200000</v>
      </c>
      <c r="G22" s="33">
        <f t="shared" si="6"/>
        <v>650000</v>
      </c>
      <c r="H22" s="33">
        <f t="shared" si="6"/>
        <v>1487500</v>
      </c>
      <c r="I22" s="33">
        <f t="shared" si="6"/>
        <v>2855625</v>
      </c>
      <c r="J22" s="33">
        <f t="shared" si="6"/>
        <v>4751718.75</v>
      </c>
      <c r="K22" s="33">
        <f t="shared" si="6"/>
        <v>7043789.0625</v>
      </c>
      <c r="L22" s="33">
        <f t="shared" si="6"/>
        <v>9632841.796875</v>
      </c>
      <c r="M22" s="33">
        <f t="shared" si="6"/>
        <v>12634631.34765625</v>
      </c>
      <c r="N22" s="33">
        <f t="shared" si="6"/>
        <v>16875973.510742188</v>
      </c>
      <c r="O22" s="33">
        <f t="shared" si="6"/>
        <v>22456980.13305664</v>
      </c>
      <c r="P22" s="33">
        <f t="shared" si="6"/>
        <v>29042735.09979248</v>
      </c>
      <c r="Q22" s="33">
        <f t="shared" si="6"/>
        <v>34082051.32484436</v>
      </c>
      <c r="R22" s="33">
        <f t="shared" si="6"/>
        <v>39761538.49363327</v>
      </c>
      <c r="S22" s="33">
        <f t="shared" si="6"/>
        <v>45521153.87022495</v>
      </c>
      <c r="T22" s="33">
        <f t="shared" si="6"/>
        <v>52140865.402668715</v>
      </c>
    </row>
    <row r="23" spans="1:20" s="43" customFormat="1" ht="15.75" customHeight="1">
      <c r="A23" s="3"/>
      <c r="B23" s="4" t="s">
        <v>141</v>
      </c>
      <c r="C23" s="45">
        <v>0.15</v>
      </c>
      <c r="D23" s="46"/>
      <c r="E23" s="47">
        <f>E22*($C23/4)</f>
        <v>0</v>
      </c>
      <c r="F23" s="47">
        <f>F22*($C23/4)</f>
        <v>7500</v>
      </c>
      <c r="G23" s="47">
        <f>G22*($C23/4)</f>
        <v>24375</v>
      </c>
      <c r="H23" s="47">
        <f>H22*($C23/4)</f>
        <v>55781.25</v>
      </c>
      <c r="I23" s="47">
        <f aca="true" t="shared" si="7" ref="I23:T23">I22*($C23/4)</f>
        <v>107085.9375</v>
      </c>
      <c r="J23" s="47">
        <f t="shared" si="7"/>
        <v>178189.453125</v>
      </c>
      <c r="K23" s="47">
        <f t="shared" si="7"/>
        <v>264142.08984375</v>
      </c>
      <c r="L23" s="47">
        <f t="shared" si="7"/>
        <v>361231.5673828125</v>
      </c>
      <c r="M23" s="47">
        <f t="shared" si="7"/>
        <v>473798.6755371094</v>
      </c>
      <c r="N23" s="47">
        <f t="shared" si="7"/>
        <v>632849.006652832</v>
      </c>
      <c r="O23" s="47">
        <f t="shared" si="7"/>
        <v>842136.754989624</v>
      </c>
      <c r="P23" s="47">
        <f t="shared" si="7"/>
        <v>1089102.566242218</v>
      </c>
      <c r="Q23" s="47">
        <f t="shared" si="7"/>
        <v>1278076.9246816635</v>
      </c>
      <c r="R23" s="47">
        <f t="shared" si="7"/>
        <v>1491057.6935112476</v>
      </c>
      <c r="S23" s="47">
        <f t="shared" si="7"/>
        <v>1707043.2701334357</v>
      </c>
      <c r="T23" s="47">
        <f t="shared" si="7"/>
        <v>1955282.4526000768</v>
      </c>
    </row>
    <row r="25" ht="15.75" customHeight="1">
      <c r="A25" s="3" t="s">
        <v>9</v>
      </c>
    </row>
    <row r="26" spans="2:20" ht="15.75" customHeight="1">
      <c r="B26" s="4" t="s">
        <v>10</v>
      </c>
      <c r="E26" s="24">
        <f>E18</f>
        <v>0</v>
      </c>
      <c r="F26" s="24">
        <f aca="true" t="shared" si="8" ref="F26:T26">F18</f>
        <v>200000</v>
      </c>
      <c r="G26" s="24">
        <f t="shared" si="8"/>
        <v>500000</v>
      </c>
      <c r="H26" s="24">
        <f t="shared" si="8"/>
        <v>1000000</v>
      </c>
      <c r="I26" s="24">
        <f t="shared" si="8"/>
        <v>1740000</v>
      </c>
      <c r="J26" s="24">
        <f t="shared" si="8"/>
        <v>2610000</v>
      </c>
      <c r="K26" s="24">
        <f t="shared" si="8"/>
        <v>3480000</v>
      </c>
      <c r="L26" s="24">
        <f t="shared" si="8"/>
        <v>4350000</v>
      </c>
      <c r="M26" s="24">
        <f t="shared" si="8"/>
        <v>5410000</v>
      </c>
      <c r="N26" s="24">
        <f t="shared" si="8"/>
        <v>7400000</v>
      </c>
      <c r="O26" s="24">
        <f t="shared" si="8"/>
        <v>9800000</v>
      </c>
      <c r="P26" s="24">
        <f t="shared" si="8"/>
        <v>12200000</v>
      </c>
      <c r="Q26" s="24">
        <f t="shared" si="8"/>
        <v>12300000</v>
      </c>
      <c r="R26" s="24">
        <f t="shared" si="8"/>
        <v>14200000</v>
      </c>
      <c r="S26" s="24">
        <f t="shared" si="8"/>
        <v>15700000</v>
      </c>
      <c r="T26" s="24">
        <f t="shared" si="8"/>
        <v>18000000</v>
      </c>
    </row>
    <row r="27" spans="2:20" ht="15.75" customHeight="1">
      <c r="B27" s="4" t="s">
        <v>141</v>
      </c>
      <c r="E27" s="24">
        <f>E23</f>
        <v>0</v>
      </c>
      <c r="F27" s="24">
        <f aca="true" t="shared" si="9" ref="F27:T27">F23</f>
        <v>7500</v>
      </c>
      <c r="G27" s="24">
        <f t="shared" si="9"/>
        <v>24375</v>
      </c>
      <c r="H27" s="24">
        <f t="shared" si="9"/>
        <v>55781.25</v>
      </c>
      <c r="I27" s="24">
        <f t="shared" si="9"/>
        <v>107085.9375</v>
      </c>
      <c r="J27" s="24">
        <f t="shared" si="9"/>
        <v>178189.453125</v>
      </c>
      <c r="K27" s="24">
        <f t="shared" si="9"/>
        <v>264142.08984375</v>
      </c>
      <c r="L27" s="24">
        <f t="shared" si="9"/>
        <v>361231.5673828125</v>
      </c>
      <c r="M27" s="24">
        <f t="shared" si="9"/>
        <v>473798.6755371094</v>
      </c>
      <c r="N27" s="24">
        <f t="shared" si="9"/>
        <v>632849.006652832</v>
      </c>
      <c r="O27" s="24">
        <f t="shared" si="9"/>
        <v>842136.754989624</v>
      </c>
      <c r="P27" s="24">
        <f t="shared" si="9"/>
        <v>1089102.566242218</v>
      </c>
      <c r="Q27" s="24">
        <f t="shared" si="9"/>
        <v>1278076.9246816635</v>
      </c>
      <c r="R27" s="24">
        <f t="shared" si="9"/>
        <v>1491057.6935112476</v>
      </c>
      <c r="S27" s="24">
        <f t="shared" si="9"/>
        <v>1707043.2701334357</v>
      </c>
      <c r="T27" s="24">
        <f t="shared" si="9"/>
        <v>1955282.4526000768</v>
      </c>
    </row>
    <row r="28" spans="2:20" ht="15.75" customHeight="1">
      <c r="B28" s="4" t="s">
        <v>142</v>
      </c>
      <c r="E28" s="48">
        <f>SUM(E26:E27)</f>
        <v>0</v>
      </c>
      <c r="F28" s="48">
        <f aca="true" t="shared" si="10" ref="F28:T28">SUM(F26:F27)</f>
        <v>207500</v>
      </c>
      <c r="G28" s="48">
        <f t="shared" si="10"/>
        <v>524375</v>
      </c>
      <c r="H28" s="48">
        <f t="shared" si="10"/>
        <v>1055781.25</v>
      </c>
      <c r="I28" s="48">
        <f t="shared" si="10"/>
        <v>1847085.9375</v>
      </c>
      <c r="J28" s="48">
        <f t="shared" si="10"/>
        <v>2788189.453125</v>
      </c>
      <c r="K28" s="48">
        <f t="shared" si="10"/>
        <v>3744142.08984375</v>
      </c>
      <c r="L28" s="48">
        <f t="shared" si="10"/>
        <v>4711231.5673828125</v>
      </c>
      <c r="M28" s="48">
        <f t="shared" si="10"/>
        <v>5883798.675537109</v>
      </c>
      <c r="N28" s="48">
        <f t="shared" si="10"/>
        <v>8032849.006652832</v>
      </c>
      <c r="O28" s="48">
        <f t="shared" si="10"/>
        <v>10642136.754989624</v>
      </c>
      <c r="P28" s="48">
        <f t="shared" si="10"/>
        <v>13289102.566242218</v>
      </c>
      <c r="Q28" s="48">
        <f t="shared" si="10"/>
        <v>13578076.924681664</v>
      </c>
      <c r="R28" s="48">
        <f t="shared" si="10"/>
        <v>15691057.693511248</v>
      </c>
      <c r="S28" s="48">
        <f t="shared" si="10"/>
        <v>17407043.270133436</v>
      </c>
      <c r="T28" s="48">
        <f t="shared" si="10"/>
        <v>19955282.452600077</v>
      </c>
    </row>
  </sheetData>
  <sheetProtection/>
  <printOptions gridLines="1" horizontalCentered="1"/>
  <pageMargins left="0.25" right="0.25" top="0.89" bottom="1.16" header="0.5" footer="0.5"/>
  <pageSetup horizontalDpi="300" verticalDpi="300" orientation="landscape"/>
  <headerFooter alignWithMargins="0">
    <oddFooter>&amp;L&amp;A&amp;CPage &amp;P</odd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56"/>
  <sheetViews>
    <sheetView zoomScale="150" zoomScaleNormal="15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L36"/>
    </sheetView>
  </sheetViews>
  <sheetFormatPr defaultColWidth="9.00390625" defaultRowHeight="12.75"/>
  <cols>
    <col min="1" max="1" width="2.421875" style="3" customWidth="1"/>
    <col min="2" max="2" width="3.140625" style="4" customWidth="1"/>
    <col min="3" max="3" width="15.421875" style="4" customWidth="1"/>
    <col min="4" max="4" width="9.57421875" style="8" bestFit="1" customWidth="1"/>
    <col min="5" max="7" width="9.421875" style="5" bestFit="1" customWidth="1"/>
    <col min="8" max="10" width="9.57421875" style="5" bestFit="1" customWidth="1"/>
    <col min="11" max="20" width="10.8515625" style="5" bestFit="1" customWidth="1"/>
    <col min="21" max="21" width="6.00390625" style="5" customWidth="1"/>
    <col min="22" max="22" width="12.140625" style="5" bestFit="1" customWidth="1"/>
    <col min="23" max="23" width="8.57421875" style="5" bestFit="1" customWidth="1"/>
    <col min="24" max="27" width="10.140625" style="5" bestFit="1" customWidth="1"/>
    <col min="28" max="39" width="11.421875" style="5" bestFit="1" customWidth="1"/>
    <col min="40" max="16384" width="9.00390625" style="5" customWidth="1"/>
  </cols>
  <sheetData>
    <row r="1" spans="1:20" s="6" customFormat="1" ht="12.75">
      <c r="A1" s="3" t="s">
        <v>38</v>
      </c>
      <c r="D1" s="6" t="s">
        <v>11</v>
      </c>
      <c r="E1" s="6" t="s">
        <v>119</v>
      </c>
      <c r="F1" s="6" t="s">
        <v>120</v>
      </c>
      <c r="G1" s="6" t="s">
        <v>121</v>
      </c>
      <c r="H1" s="6" t="s">
        <v>122</v>
      </c>
      <c r="I1" s="6" t="s">
        <v>119</v>
      </c>
      <c r="J1" s="6" t="s">
        <v>120</v>
      </c>
      <c r="K1" s="6" t="s">
        <v>121</v>
      </c>
      <c r="L1" s="6" t="s">
        <v>122</v>
      </c>
      <c r="M1" s="6" t="s">
        <v>119</v>
      </c>
      <c r="N1" s="6" t="s">
        <v>120</v>
      </c>
      <c r="O1" s="6" t="s">
        <v>121</v>
      </c>
      <c r="P1" s="6" t="s">
        <v>122</v>
      </c>
      <c r="Q1" s="6" t="s">
        <v>119</v>
      </c>
      <c r="R1" s="6" t="s">
        <v>120</v>
      </c>
      <c r="S1" s="6" t="s">
        <v>121</v>
      </c>
      <c r="T1" s="6" t="s">
        <v>122</v>
      </c>
    </row>
    <row r="2" spans="5:20" s="6" customFormat="1" ht="12.75">
      <c r="E2" s="6" t="s">
        <v>79</v>
      </c>
      <c r="F2" s="6" t="s">
        <v>79</v>
      </c>
      <c r="G2" s="6" t="s">
        <v>79</v>
      </c>
      <c r="H2" s="6" t="s">
        <v>79</v>
      </c>
      <c r="I2" s="6" t="s">
        <v>86</v>
      </c>
      <c r="J2" s="6" t="s">
        <v>86</v>
      </c>
      <c r="K2" s="6" t="s">
        <v>86</v>
      </c>
      <c r="L2" s="6" t="s">
        <v>86</v>
      </c>
      <c r="M2" s="6" t="s">
        <v>87</v>
      </c>
      <c r="N2" s="6" t="s">
        <v>87</v>
      </c>
      <c r="O2" s="6" t="s">
        <v>87</v>
      </c>
      <c r="P2" s="6" t="s">
        <v>87</v>
      </c>
      <c r="Q2" s="6" t="s">
        <v>88</v>
      </c>
      <c r="R2" s="6" t="s">
        <v>88</v>
      </c>
      <c r="S2" s="6" t="s">
        <v>88</v>
      </c>
      <c r="T2" s="6" t="s">
        <v>88</v>
      </c>
    </row>
    <row r="3" spans="2:20" ht="12.75">
      <c r="B3" s="3" t="s">
        <v>12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2" customFormat="1" ht="12.75">
      <c r="A4" s="3"/>
      <c r="B4" s="3"/>
      <c r="C4" s="4" t="s">
        <v>13</v>
      </c>
      <c r="D4" s="9" t="s">
        <v>93</v>
      </c>
      <c r="E4" s="49">
        <f>'Sales Plan'!E4</f>
        <v>0</v>
      </c>
      <c r="F4" s="49">
        <f>'Sales Plan'!F4</f>
        <v>20</v>
      </c>
      <c r="G4" s="49">
        <f>'Sales Plan'!G4</f>
        <v>50</v>
      </c>
      <c r="H4" s="49">
        <f>'Sales Plan'!H4</f>
        <v>100</v>
      </c>
      <c r="I4" s="49">
        <f>'Sales Plan'!I4</f>
        <v>200</v>
      </c>
      <c r="J4" s="49">
        <f>'Sales Plan'!J4</f>
        <v>300</v>
      </c>
      <c r="K4" s="49">
        <f>'Sales Plan'!K4</f>
        <v>400</v>
      </c>
      <c r="L4" s="49">
        <f>'Sales Plan'!L4</f>
        <v>500</v>
      </c>
      <c r="M4" s="49">
        <f>'Sales Plan'!M4</f>
        <v>750</v>
      </c>
      <c r="N4" s="49">
        <f>'Sales Plan'!N4</f>
        <v>1000</v>
      </c>
      <c r="O4" s="49">
        <f>'Sales Plan'!O4</f>
        <v>1250</v>
      </c>
      <c r="P4" s="49">
        <f>'Sales Plan'!P4</f>
        <v>1500</v>
      </c>
      <c r="Q4" s="49">
        <f>'Sales Plan'!Q4</f>
        <v>1500</v>
      </c>
      <c r="R4" s="49">
        <f>'Sales Plan'!R4</f>
        <v>1400</v>
      </c>
      <c r="S4" s="49">
        <f>'Sales Plan'!S4</f>
        <v>1300</v>
      </c>
      <c r="T4" s="49">
        <f>'Sales Plan'!T4</f>
        <v>1200</v>
      </c>
    </row>
    <row r="5" spans="1:20" s="12" customFormat="1" ht="12.75">
      <c r="A5" s="3"/>
      <c r="B5" s="4"/>
      <c r="C5" s="4" t="s">
        <v>14</v>
      </c>
      <c r="D5" s="9" t="s">
        <v>93</v>
      </c>
      <c r="E5" s="49">
        <f>'Sales Plan'!E5</f>
        <v>0</v>
      </c>
      <c r="F5" s="49">
        <f>'Sales Plan'!F5</f>
        <v>0</v>
      </c>
      <c r="G5" s="49">
        <f>'Sales Plan'!G5</f>
        <v>0</v>
      </c>
      <c r="H5" s="49">
        <f>'Sales Plan'!H5</f>
        <v>0</v>
      </c>
      <c r="I5" s="49">
        <f>'Sales Plan'!I5</f>
        <v>20</v>
      </c>
      <c r="J5" s="49">
        <f>'Sales Plan'!J5</f>
        <v>30</v>
      </c>
      <c r="K5" s="49">
        <f>'Sales Plan'!K5</f>
        <v>40</v>
      </c>
      <c r="L5" s="49">
        <f>'Sales Plan'!L5</f>
        <v>50</v>
      </c>
      <c r="M5" s="49">
        <f>'Sales Plan'!M5</f>
        <v>75</v>
      </c>
      <c r="N5" s="49">
        <f>'Sales Plan'!N5</f>
        <v>100</v>
      </c>
      <c r="O5" s="49">
        <f>'Sales Plan'!O5</f>
        <v>150</v>
      </c>
      <c r="P5" s="49">
        <f>'Sales Plan'!P5</f>
        <v>200</v>
      </c>
      <c r="Q5" s="49">
        <f>'Sales Plan'!Q5</f>
        <v>400</v>
      </c>
      <c r="R5" s="49">
        <f>'Sales Plan'!R5</f>
        <v>600</v>
      </c>
      <c r="S5" s="49">
        <f>'Sales Plan'!S5</f>
        <v>750</v>
      </c>
      <c r="T5" s="49">
        <f>'Sales Plan'!T5</f>
        <v>1000</v>
      </c>
    </row>
    <row r="6" spans="1:20" s="12" customFormat="1" ht="12.75">
      <c r="A6" s="3"/>
      <c r="B6" s="4"/>
      <c r="C6" s="4" t="s">
        <v>15</v>
      </c>
      <c r="D6" s="9" t="s">
        <v>93</v>
      </c>
      <c r="E6" s="49">
        <f>'Sales Plan'!E6</f>
        <v>0</v>
      </c>
      <c r="F6" s="49">
        <f>'Sales Plan'!F6</f>
        <v>0</v>
      </c>
      <c r="G6" s="49">
        <f>'Sales Plan'!G6</f>
        <v>0</v>
      </c>
      <c r="H6" s="49">
        <f>'Sales Plan'!H6</f>
        <v>0</v>
      </c>
      <c r="I6" s="49">
        <f>'Sales Plan'!I6</f>
        <v>0</v>
      </c>
      <c r="J6" s="49">
        <f>'Sales Plan'!J6</f>
        <v>0</v>
      </c>
      <c r="K6" s="49">
        <f>'Sales Plan'!K6</f>
        <v>0</v>
      </c>
      <c r="L6" s="49">
        <f>'Sales Plan'!L6</f>
        <v>0</v>
      </c>
      <c r="M6" s="49">
        <f>'Sales Plan'!M6</f>
        <v>10</v>
      </c>
      <c r="N6" s="49">
        <f>'Sales Plan'!N6</f>
        <v>25</v>
      </c>
      <c r="O6" s="49">
        <f>'Sales Plan'!O6</f>
        <v>50</v>
      </c>
      <c r="P6" s="49">
        <f>'Sales Plan'!P6</f>
        <v>75</v>
      </c>
      <c r="Q6" s="49">
        <f>'Sales Plan'!Q6</f>
        <v>100</v>
      </c>
      <c r="R6" s="49">
        <f>'Sales Plan'!R6</f>
        <v>150</v>
      </c>
      <c r="S6" s="49">
        <f>'Sales Plan'!S6</f>
        <v>200</v>
      </c>
      <c r="T6" s="49">
        <f>'Sales Plan'!T6</f>
        <v>250</v>
      </c>
    </row>
    <row r="7" spans="3:20" ht="12.75">
      <c r="C7" s="4" t="s">
        <v>55</v>
      </c>
      <c r="E7" s="50">
        <f aca="true" t="shared" si="0" ref="E7:T7">SUM(E4:E6)</f>
        <v>0</v>
      </c>
      <c r="F7" s="50">
        <f t="shared" si="0"/>
        <v>20</v>
      </c>
      <c r="G7" s="50">
        <f t="shared" si="0"/>
        <v>50</v>
      </c>
      <c r="H7" s="50">
        <f t="shared" si="0"/>
        <v>100</v>
      </c>
      <c r="I7" s="50">
        <f t="shared" si="0"/>
        <v>220</v>
      </c>
      <c r="J7" s="50">
        <f t="shared" si="0"/>
        <v>330</v>
      </c>
      <c r="K7" s="50">
        <f t="shared" si="0"/>
        <v>440</v>
      </c>
      <c r="L7" s="50">
        <f t="shared" si="0"/>
        <v>550</v>
      </c>
      <c r="M7" s="50">
        <f t="shared" si="0"/>
        <v>835</v>
      </c>
      <c r="N7" s="50">
        <f t="shared" si="0"/>
        <v>1125</v>
      </c>
      <c r="O7" s="50">
        <f t="shared" si="0"/>
        <v>1450</v>
      </c>
      <c r="P7" s="50">
        <f t="shared" si="0"/>
        <v>1775</v>
      </c>
      <c r="Q7" s="50">
        <f t="shared" si="0"/>
        <v>2000</v>
      </c>
      <c r="R7" s="50">
        <f t="shared" si="0"/>
        <v>2150</v>
      </c>
      <c r="S7" s="50">
        <f t="shared" si="0"/>
        <v>2250</v>
      </c>
      <c r="T7" s="50">
        <f t="shared" si="0"/>
        <v>2450</v>
      </c>
    </row>
    <row r="8" spans="5:20" ht="12.75"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s="12" customFormat="1" ht="12">
      <c r="A9" s="5"/>
      <c r="B9" s="4"/>
      <c r="C9" s="4" t="s">
        <v>16</v>
      </c>
      <c r="D9" s="9"/>
      <c r="E9" s="52">
        <f>E7</f>
        <v>0</v>
      </c>
      <c r="F9" s="52">
        <f>F7+E9</f>
        <v>20</v>
      </c>
      <c r="G9" s="52">
        <f aca="true" t="shared" si="1" ref="G9:T9">G7+F9</f>
        <v>70</v>
      </c>
      <c r="H9" s="52">
        <f t="shared" si="1"/>
        <v>170</v>
      </c>
      <c r="I9" s="52">
        <f t="shared" si="1"/>
        <v>390</v>
      </c>
      <c r="J9" s="52">
        <f t="shared" si="1"/>
        <v>720</v>
      </c>
      <c r="K9" s="52">
        <f t="shared" si="1"/>
        <v>1160</v>
      </c>
      <c r="L9" s="52">
        <f t="shared" si="1"/>
        <v>1710</v>
      </c>
      <c r="M9" s="52">
        <f t="shared" si="1"/>
        <v>2545</v>
      </c>
      <c r="N9" s="52">
        <f t="shared" si="1"/>
        <v>3670</v>
      </c>
      <c r="O9" s="52">
        <f t="shared" si="1"/>
        <v>5120</v>
      </c>
      <c r="P9" s="52">
        <f t="shared" si="1"/>
        <v>6895</v>
      </c>
      <c r="Q9" s="52">
        <f t="shared" si="1"/>
        <v>8895</v>
      </c>
      <c r="R9" s="52">
        <f t="shared" si="1"/>
        <v>11045</v>
      </c>
      <c r="S9" s="52">
        <f t="shared" si="1"/>
        <v>13295</v>
      </c>
      <c r="T9" s="52">
        <f t="shared" si="1"/>
        <v>15745</v>
      </c>
    </row>
    <row r="10" spans="2:20" s="12" customFormat="1" ht="12">
      <c r="B10" s="53"/>
      <c r="C10" s="53"/>
      <c r="D10" s="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s="12" customFormat="1" ht="12.75">
      <c r="A11" s="3"/>
      <c r="B11" s="4"/>
      <c r="C11" s="4" t="s">
        <v>156</v>
      </c>
      <c r="D11" s="9" t="s">
        <v>93</v>
      </c>
      <c r="E11" s="54">
        <f>'Sales Plan'!E22</f>
        <v>0</v>
      </c>
      <c r="F11" s="54">
        <f>'Sales Plan'!F22</f>
        <v>200000</v>
      </c>
      <c r="G11" s="54">
        <f>'Sales Plan'!G22</f>
        <v>650000</v>
      </c>
      <c r="H11" s="54">
        <f>'Sales Plan'!H22</f>
        <v>1487500</v>
      </c>
      <c r="I11" s="54">
        <f>'Sales Plan'!I22</f>
        <v>2855625</v>
      </c>
      <c r="J11" s="54">
        <f>'Sales Plan'!J22</f>
        <v>4751718.75</v>
      </c>
      <c r="K11" s="54">
        <f>'Sales Plan'!K22</f>
        <v>7043789.0625</v>
      </c>
      <c r="L11" s="54">
        <f>'Sales Plan'!L22</f>
        <v>9632841.796875</v>
      </c>
      <c r="M11" s="54">
        <f>'Sales Plan'!M22</f>
        <v>12634631.34765625</v>
      </c>
      <c r="N11" s="54">
        <f>'Sales Plan'!N22</f>
        <v>16875973.510742188</v>
      </c>
      <c r="O11" s="54">
        <f>'Sales Plan'!O22</f>
        <v>22456980.13305664</v>
      </c>
      <c r="P11" s="54">
        <f>'Sales Plan'!P22</f>
        <v>29042735.09979248</v>
      </c>
      <c r="Q11" s="54">
        <f>'Sales Plan'!Q22</f>
        <v>34082051.32484436</v>
      </c>
      <c r="R11" s="54">
        <f>'Sales Plan'!R22</f>
        <v>39761538.49363327</v>
      </c>
      <c r="S11" s="54">
        <f>'Sales Plan'!S22</f>
        <v>45521153.87022495</v>
      </c>
      <c r="T11" s="54">
        <f>'Sales Plan'!T22</f>
        <v>52140865.402668715</v>
      </c>
    </row>
    <row r="12" spans="4:20" ht="12.75">
      <c r="D12" s="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6" customFormat="1" ht="12.75">
      <c r="A13" s="3" t="s">
        <v>17</v>
      </c>
      <c r="D13" s="6" t="s">
        <v>11</v>
      </c>
      <c r="E13" s="6" t="s">
        <v>119</v>
      </c>
      <c r="F13" s="6" t="s">
        <v>120</v>
      </c>
      <c r="G13" s="6" t="s">
        <v>121</v>
      </c>
      <c r="H13" s="6" t="s">
        <v>122</v>
      </c>
      <c r="I13" s="6" t="s">
        <v>119</v>
      </c>
      <c r="J13" s="6" t="s">
        <v>120</v>
      </c>
      <c r="K13" s="6" t="s">
        <v>121</v>
      </c>
      <c r="L13" s="6" t="s">
        <v>122</v>
      </c>
      <c r="M13" s="6" t="s">
        <v>119</v>
      </c>
      <c r="N13" s="6" t="s">
        <v>120</v>
      </c>
      <c r="O13" s="6" t="s">
        <v>121</v>
      </c>
      <c r="P13" s="6" t="s">
        <v>122</v>
      </c>
      <c r="Q13" s="6" t="s">
        <v>119</v>
      </c>
      <c r="R13" s="6" t="s">
        <v>120</v>
      </c>
      <c r="S13" s="6" t="s">
        <v>121</v>
      </c>
      <c r="T13" s="6" t="s">
        <v>122</v>
      </c>
    </row>
    <row r="14" spans="5:20" s="6" customFormat="1" ht="12.75">
      <c r="E14" s="6" t="s">
        <v>79</v>
      </c>
      <c r="F14" s="6" t="s">
        <v>79</v>
      </c>
      <c r="G14" s="6" t="s">
        <v>79</v>
      </c>
      <c r="H14" s="6" t="s">
        <v>79</v>
      </c>
      <c r="I14" s="6" t="s">
        <v>86</v>
      </c>
      <c r="J14" s="6" t="s">
        <v>86</v>
      </c>
      <c r="K14" s="6" t="s">
        <v>86</v>
      </c>
      <c r="L14" s="6" t="s">
        <v>86</v>
      </c>
      <c r="M14" s="6" t="s">
        <v>87</v>
      </c>
      <c r="N14" s="6" t="s">
        <v>87</v>
      </c>
      <c r="O14" s="6" t="s">
        <v>87</v>
      </c>
      <c r="P14" s="6" t="s">
        <v>87</v>
      </c>
      <c r="Q14" s="6" t="s">
        <v>88</v>
      </c>
      <c r="R14" s="6" t="s">
        <v>88</v>
      </c>
      <c r="S14" s="6" t="s">
        <v>88</v>
      </c>
      <c r="T14" s="6" t="s">
        <v>88</v>
      </c>
    </row>
    <row r="15" spans="2:39" ht="12.75">
      <c r="B15" s="3" t="s">
        <v>18</v>
      </c>
      <c r="X15" s="6" t="s">
        <v>79</v>
      </c>
      <c r="Y15" s="6" t="s">
        <v>79</v>
      </c>
      <c r="Z15" s="6" t="s">
        <v>79</v>
      </c>
      <c r="AA15" s="6" t="s">
        <v>79</v>
      </c>
      <c r="AB15" s="6" t="s">
        <v>86</v>
      </c>
      <c r="AC15" s="6" t="s">
        <v>86</v>
      </c>
      <c r="AD15" s="6" t="s">
        <v>86</v>
      </c>
      <c r="AE15" s="6" t="s">
        <v>86</v>
      </c>
      <c r="AF15" s="6" t="s">
        <v>87</v>
      </c>
      <c r="AG15" s="6" t="s">
        <v>87</v>
      </c>
      <c r="AH15" s="6" t="s">
        <v>87</v>
      </c>
      <c r="AI15" s="6" t="s">
        <v>87</v>
      </c>
      <c r="AJ15" s="6" t="s">
        <v>88</v>
      </c>
      <c r="AK15" s="6" t="s">
        <v>88</v>
      </c>
      <c r="AL15" s="6" t="s">
        <v>88</v>
      </c>
      <c r="AM15" s="6" t="s">
        <v>88</v>
      </c>
    </row>
    <row r="16" spans="1:39" s="34" customFormat="1" ht="12.75">
      <c r="A16" s="3"/>
      <c r="B16" s="3"/>
      <c r="C16" s="4" t="s">
        <v>19</v>
      </c>
      <c r="D16" s="8"/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W16" s="31">
        <v>125000</v>
      </c>
      <c r="X16" s="33">
        <f>E16*($W16/4)*'Staffing Plan'!Z$4</f>
        <v>35937.5</v>
      </c>
      <c r="Y16" s="33">
        <f>F16*($W16/4)*'Staffing Plan'!AA$4</f>
        <v>35937.5</v>
      </c>
      <c r="Z16" s="33">
        <f>G16*($W16/4)*'Staffing Plan'!AB$4</f>
        <v>35937.5</v>
      </c>
      <c r="AA16" s="33">
        <f>H16*($W16/4)*'Staffing Plan'!AC$4</f>
        <v>35937.5</v>
      </c>
      <c r="AB16" s="33">
        <f>I16*($W16/4)*'Staffing Plan'!AD$4</f>
        <v>36562.5</v>
      </c>
      <c r="AC16" s="33">
        <f>J16*($W16/4)*'Staffing Plan'!AE$4</f>
        <v>37187.5</v>
      </c>
      <c r="AD16" s="33">
        <f>K16*($W16/4)*'Staffing Plan'!AF$4</f>
        <v>37812.5</v>
      </c>
      <c r="AE16" s="33">
        <f>L16*($W16/4)*'Staffing Plan'!AG$4</f>
        <v>38437.5</v>
      </c>
      <c r="AF16" s="33">
        <f>M16*($W16/4)*'Staffing Plan'!AH$4</f>
        <v>39062.5</v>
      </c>
      <c r="AG16" s="33">
        <f>N16*($W16/4)*'Staffing Plan'!AI$4</f>
        <v>39687.5</v>
      </c>
      <c r="AH16" s="33">
        <f>O16*($W16/4)*'Staffing Plan'!AJ$4</f>
        <v>40312.5</v>
      </c>
      <c r="AI16" s="33">
        <f>P16*($W16/4)*'Staffing Plan'!AK$4</f>
        <v>40937.5</v>
      </c>
      <c r="AJ16" s="33">
        <f>Q16*($W16/4)*'Staffing Plan'!AL$4</f>
        <v>41562.5</v>
      </c>
      <c r="AK16" s="33">
        <f>R16*($W16/4)*'Staffing Plan'!AM$4</f>
        <v>42187.5</v>
      </c>
      <c r="AL16" s="33">
        <f>S16*($W16/4)*'Staffing Plan'!AN$4</f>
        <v>42812.5</v>
      </c>
      <c r="AM16" s="33">
        <f>T16*($W16/4)*'Staffing Plan'!AO$4</f>
        <v>43437.50000000001</v>
      </c>
    </row>
    <row r="17" spans="1:39" s="34" customFormat="1" ht="12.75">
      <c r="A17" s="3"/>
      <c r="B17" s="3"/>
      <c r="C17" s="4" t="s">
        <v>20</v>
      </c>
      <c r="D17" s="8" t="s">
        <v>21</v>
      </c>
      <c r="E17" s="56"/>
      <c r="F17" s="56"/>
      <c r="G17" s="56"/>
      <c r="H17" s="56">
        <f aca="true" t="shared" si="2" ref="H17:T17">MAX(1,INT(1+H18/10))</f>
        <v>1</v>
      </c>
      <c r="I17" s="56">
        <f t="shared" si="2"/>
        <v>1</v>
      </c>
      <c r="J17" s="56">
        <f t="shared" si="2"/>
        <v>1</v>
      </c>
      <c r="K17" s="56">
        <f t="shared" si="2"/>
        <v>2</v>
      </c>
      <c r="L17" s="56">
        <f t="shared" si="2"/>
        <v>2</v>
      </c>
      <c r="M17" s="56">
        <f t="shared" si="2"/>
        <v>3</v>
      </c>
      <c r="N17" s="56">
        <f t="shared" si="2"/>
        <v>3</v>
      </c>
      <c r="O17" s="56">
        <f t="shared" si="2"/>
        <v>4</v>
      </c>
      <c r="P17" s="56">
        <f t="shared" si="2"/>
        <v>5</v>
      </c>
      <c r="Q17" s="56">
        <f t="shared" si="2"/>
        <v>6</v>
      </c>
      <c r="R17" s="56">
        <f t="shared" si="2"/>
        <v>6</v>
      </c>
      <c r="S17" s="56">
        <f t="shared" si="2"/>
        <v>6</v>
      </c>
      <c r="T17" s="56">
        <f t="shared" si="2"/>
        <v>7</v>
      </c>
      <c r="U17" s="5"/>
      <c r="V17" s="5"/>
      <c r="W17" s="31">
        <v>90000</v>
      </c>
      <c r="X17" s="33">
        <f>E17*($W17/4)*'Staffing Plan'!Z$4</f>
        <v>0</v>
      </c>
      <c r="Y17" s="33">
        <f>F17*($W17/4)*'Staffing Plan'!AA$4</f>
        <v>0</v>
      </c>
      <c r="Z17" s="33">
        <f>G17*($W17/4)*'Staffing Plan'!AB$4</f>
        <v>0</v>
      </c>
      <c r="AA17" s="33">
        <f>H17*($W17/4)*'Staffing Plan'!AC$4</f>
        <v>25874.999999999996</v>
      </c>
      <c r="AB17" s="33">
        <f>I17*($W17/4)*'Staffing Plan'!AD$4</f>
        <v>26325</v>
      </c>
      <c r="AC17" s="33">
        <f>J17*($W17/4)*'Staffing Plan'!AE$4</f>
        <v>26775</v>
      </c>
      <c r="AD17" s="33">
        <f>K17*($W17/4)*'Staffing Plan'!AF$4</f>
        <v>54450</v>
      </c>
      <c r="AE17" s="33">
        <f>L17*($W17/4)*'Staffing Plan'!AG$4</f>
        <v>55350</v>
      </c>
      <c r="AF17" s="33">
        <f>M17*($W17/4)*'Staffing Plan'!AH$4</f>
        <v>84375</v>
      </c>
      <c r="AG17" s="33">
        <f>N17*($W17/4)*'Staffing Plan'!AI$4</f>
        <v>85725</v>
      </c>
      <c r="AH17" s="33">
        <f>O17*($W17/4)*'Staffing Plan'!AJ$4</f>
        <v>116100</v>
      </c>
      <c r="AI17" s="33">
        <f>P17*($W17/4)*'Staffing Plan'!AK$4</f>
        <v>147375</v>
      </c>
      <c r="AJ17" s="33">
        <f>Q17*($W17/4)*'Staffing Plan'!AL$4</f>
        <v>179550</v>
      </c>
      <c r="AK17" s="33">
        <f>R17*($W17/4)*'Staffing Plan'!AM$4</f>
        <v>182250</v>
      </c>
      <c r="AL17" s="33">
        <f>S17*($W17/4)*'Staffing Plan'!AN$4</f>
        <v>184950</v>
      </c>
      <c r="AM17" s="33">
        <f>T17*($W17/4)*'Staffing Plan'!AO$4</f>
        <v>218925.00000000003</v>
      </c>
    </row>
    <row r="18" spans="1:39" s="34" customFormat="1" ht="12.75">
      <c r="A18" s="3"/>
      <c r="B18" s="3"/>
      <c r="C18" s="4" t="s">
        <v>157</v>
      </c>
      <c r="D18" s="8" t="s">
        <v>39</v>
      </c>
      <c r="E18" s="55">
        <f>MAX(1,INT(E7/40))</f>
        <v>1</v>
      </c>
      <c r="F18" s="55">
        <f aca="true" t="shared" si="3" ref="F18:T18">MAX(1,INT(F7/40))</f>
        <v>1</v>
      </c>
      <c r="G18" s="55">
        <f t="shared" si="3"/>
        <v>1</v>
      </c>
      <c r="H18" s="55">
        <f t="shared" si="3"/>
        <v>2</v>
      </c>
      <c r="I18" s="55">
        <f t="shared" si="3"/>
        <v>5</v>
      </c>
      <c r="J18" s="55">
        <f t="shared" si="3"/>
        <v>8</v>
      </c>
      <c r="K18" s="55">
        <f t="shared" si="3"/>
        <v>11</v>
      </c>
      <c r="L18" s="55">
        <f t="shared" si="3"/>
        <v>13</v>
      </c>
      <c r="M18" s="55">
        <f t="shared" si="3"/>
        <v>20</v>
      </c>
      <c r="N18" s="55">
        <f t="shared" si="3"/>
        <v>28</v>
      </c>
      <c r="O18" s="55">
        <f t="shared" si="3"/>
        <v>36</v>
      </c>
      <c r="P18" s="55">
        <f t="shared" si="3"/>
        <v>44</v>
      </c>
      <c r="Q18" s="55">
        <f t="shared" si="3"/>
        <v>50</v>
      </c>
      <c r="R18" s="55">
        <f t="shared" si="3"/>
        <v>53</v>
      </c>
      <c r="S18" s="55">
        <f t="shared" si="3"/>
        <v>56</v>
      </c>
      <c r="T18" s="55">
        <f t="shared" si="3"/>
        <v>61</v>
      </c>
      <c r="W18" s="31">
        <v>65000</v>
      </c>
      <c r="X18" s="33">
        <f>E18*($W18/4)*'Staffing Plan'!Z$4</f>
        <v>18687.5</v>
      </c>
      <c r="Y18" s="33">
        <f>F18*($W18/4)*'Staffing Plan'!AA$4</f>
        <v>18687.5</v>
      </c>
      <c r="Z18" s="33">
        <f>G18*($W18/4)*'Staffing Plan'!AB$4</f>
        <v>18687.5</v>
      </c>
      <c r="AA18" s="33">
        <f>H18*($W18/4)*'Staffing Plan'!AC$4</f>
        <v>37375</v>
      </c>
      <c r="AB18" s="33">
        <f>I18*($W18/4)*'Staffing Plan'!AD$4</f>
        <v>95062.5</v>
      </c>
      <c r="AC18" s="33">
        <f>J18*($W18/4)*'Staffing Plan'!AE$4</f>
        <v>154700</v>
      </c>
      <c r="AD18" s="33">
        <f>K18*($W18/4)*'Staffing Plan'!AF$4</f>
        <v>216287.5</v>
      </c>
      <c r="AE18" s="33">
        <f>L18*($W18/4)*'Staffing Plan'!AG$4</f>
        <v>259837.5</v>
      </c>
      <c r="AF18" s="33">
        <f>M18*($W18/4)*'Staffing Plan'!AH$4</f>
        <v>406250</v>
      </c>
      <c r="AG18" s="33">
        <f>N18*($W18/4)*'Staffing Plan'!AI$4</f>
        <v>577850</v>
      </c>
      <c r="AH18" s="33">
        <f>O18*($W18/4)*'Staffing Plan'!AJ$4</f>
        <v>754650</v>
      </c>
      <c r="AI18" s="33">
        <f>P18*($W18/4)*'Staffing Plan'!AK$4</f>
        <v>936650</v>
      </c>
      <c r="AJ18" s="33">
        <f>Q18*($W18/4)*'Staffing Plan'!AL$4</f>
        <v>1080625</v>
      </c>
      <c r="AK18" s="33">
        <f>R18*($W18/4)*'Staffing Plan'!AM$4</f>
        <v>1162687.5</v>
      </c>
      <c r="AL18" s="33">
        <f>S18*($W18/4)*'Staffing Plan'!AN$4</f>
        <v>1246700</v>
      </c>
      <c r="AM18" s="33">
        <f>T18*($W18/4)*'Staffing Plan'!AO$4</f>
        <v>1377837.5000000002</v>
      </c>
    </row>
    <row r="19" spans="1:39" s="34" customFormat="1" ht="12.75">
      <c r="A19" s="3"/>
      <c r="B19" s="3"/>
      <c r="C19" s="4" t="s">
        <v>22</v>
      </c>
      <c r="D19" s="8"/>
      <c r="E19" s="57">
        <f>MAX(1,E17)</f>
        <v>1</v>
      </c>
      <c r="F19" s="57">
        <f aca="true" t="shared" si="4" ref="F19:T19">MAX(1,F17)</f>
        <v>1</v>
      </c>
      <c r="G19" s="57">
        <f t="shared" si="4"/>
        <v>1</v>
      </c>
      <c r="H19" s="57">
        <f t="shared" si="4"/>
        <v>1</v>
      </c>
      <c r="I19" s="57">
        <f t="shared" si="4"/>
        <v>1</v>
      </c>
      <c r="J19" s="57">
        <f t="shared" si="4"/>
        <v>1</v>
      </c>
      <c r="K19" s="57">
        <f t="shared" si="4"/>
        <v>2</v>
      </c>
      <c r="L19" s="57">
        <f t="shared" si="4"/>
        <v>2</v>
      </c>
      <c r="M19" s="57">
        <f t="shared" si="4"/>
        <v>3</v>
      </c>
      <c r="N19" s="57">
        <f t="shared" si="4"/>
        <v>3</v>
      </c>
      <c r="O19" s="57">
        <f t="shared" si="4"/>
        <v>4</v>
      </c>
      <c r="P19" s="57">
        <f t="shared" si="4"/>
        <v>5</v>
      </c>
      <c r="Q19" s="57">
        <f t="shared" si="4"/>
        <v>6</v>
      </c>
      <c r="R19" s="57">
        <f t="shared" si="4"/>
        <v>6</v>
      </c>
      <c r="S19" s="57">
        <f t="shared" si="4"/>
        <v>6</v>
      </c>
      <c r="T19" s="57">
        <f t="shared" si="4"/>
        <v>7</v>
      </c>
      <c r="W19" s="31">
        <v>50000</v>
      </c>
      <c r="X19" s="33">
        <f>E19*($W19/4)*'Staffing Plan'!Z$4</f>
        <v>14374.999999999998</v>
      </c>
      <c r="Y19" s="33">
        <f>F19*($W19/4)*'Staffing Plan'!AA$4</f>
        <v>14374.999999999998</v>
      </c>
      <c r="Z19" s="33">
        <f>G19*($W19/4)*'Staffing Plan'!AB$4</f>
        <v>14374.999999999998</v>
      </c>
      <c r="AA19" s="33">
        <f>H19*($W19/4)*'Staffing Plan'!AC$4</f>
        <v>14374.999999999998</v>
      </c>
      <c r="AB19" s="33">
        <f>I19*($W19/4)*'Staffing Plan'!AD$4</f>
        <v>14625</v>
      </c>
      <c r="AC19" s="33">
        <f>J19*($W19/4)*'Staffing Plan'!AE$4</f>
        <v>14875</v>
      </c>
      <c r="AD19" s="33">
        <f>K19*($W19/4)*'Staffing Plan'!AF$4</f>
        <v>30250</v>
      </c>
      <c r="AE19" s="33">
        <f>L19*($W19/4)*'Staffing Plan'!AG$4</f>
        <v>30750</v>
      </c>
      <c r="AF19" s="33">
        <f>M19*($W19/4)*'Staffing Plan'!AH$4</f>
        <v>46875</v>
      </c>
      <c r="AG19" s="33">
        <f>N19*($W19/4)*'Staffing Plan'!AI$4</f>
        <v>47625</v>
      </c>
      <c r="AH19" s="33">
        <f>O19*($W19/4)*'Staffing Plan'!AJ$4</f>
        <v>64500</v>
      </c>
      <c r="AI19" s="33">
        <f>P19*($W19/4)*'Staffing Plan'!AK$4</f>
        <v>81875</v>
      </c>
      <c r="AJ19" s="33">
        <f>Q19*($W19/4)*'Staffing Plan'!AL$4</f>
        <v>99750</v>
      </c>
      <c r="AK19" s="33">
        <f>R19*($W19/4)*'Staffing Plan'!AM$4</f>
        <v>101250</v>
      </c>
      <c r="AL19" s="33">
        <f>S19*($W19/4)*'Staffing Plan'!AN$4</f>
        <v>102750.00000000001</v>
      </c>
      <c r="AM19" s="33">
        <f>T19*($W19/4)*'Staffing Plan'!AO$4</f>
        <v>121625.00000000001</v>
      </c>
    </row>
    <row r="20" spans="1:39" s="60" customFormat="1" ht="12.75">
      <c r="A20" s="3"/>
      <c r="B20" s="3"/>
      <c r="C20" s="4" t="s">
        <v>23</v>
      </c>
      <c r="D20" s="8"/>
      <c r="E20" s="58">
        <f>SUM(E16:E19)</f>
        <v>3</v>
      </c>
      <c r="F20" s="58">
        <f aca="true" t="shared" si="5" ref="F20:T20">SUM(F16:F19)</f>
        <v>3</v>
      </c>
      <c r="G20" s="58">
        <f t="shared" si="5"/>
        <v>3</v>
      </c>
      <c r="H20" s="58">
        <f t="shared" si="5"/>
        <v>5</v>
      </c>
      <c r="I20" s="58">
        <f t="shared" si="5"/>
        <v>8</v>
      </c>
      <c r="J20" s="58">
        <f t="shared" si="5"/>
        <v>11</v>
      </c>
      <c r="K20" s="58">
        <f t="shared" si="5"/>
        <v>16</v>
      </c>
      <c r="L20" s="58">
        <f t="shared" si="5"/>
        <v>18</v>
      </c>
      <c r="M20" s="58">
        <f t="shared" si="5"/>
        <v>27</v>
      </c>
      <c r="N20" s="58">
        <f t="shared" si="5"/>
        <v>35</v>
      </c>
      <c r="O20" s="58">
        <f t="shared" si="5"/>
        <v>45</v>
      </c>
      <c r="P20" s="58">
        <f t="shared" si="5"/>
        <v>55</v>
      </c>
      <c r="Q20" s="58">
        <f t="shared" si="5"/>
        <v>63</v>
      </c>
      <c r="R20" s="58">
        <f t="shared" si="5"/>
        <v>66</v>
      </c>
      <c r="S20" s="58">
        <f t="shared" si="5"/>
        <v>69</v>
      </c>
      <c r="T20" s="58">
        <f t="shared" si="5"/>
        <v>76</v>
      </c>
      <c r="U20" s="5"/>
      <c r="V20" s="5"/>
      <c r="W20" s="5"/>
      <c r="X20" s="59">
        <f>SUM(X16:X19)</f>
        <v>69000</v>
      </c>
      <c r="Y20" s="59">
        <f aca="true" t="shared" si="6" ref="Y20:AM20">SUM(Y16:Y19)</f>
        <v>69000</v>
      </c>
      <c r="Z20" s="59">
        <f t="shared" si="6"/>
        <v>69000</v>
      </c>
      <c r="AA20" s="59">
        <f t="shared" si="6"/>
        <v>113562.5</v>
      </c>
      <c r="AB20" s="59">
        <f t="shared" si="6"/>
        <v>172575</v>
      </c>
      <c r="AC20" s="59">
        <f t="shared" si="6"/>
        <v>233537.5</v>
      </c>
      <c r="AD20" s="59">
        <f t="shared" si="6"/>
        <v>338800</v>
      </c>
      <c r="AE20" s="59">
        <f t="shared" si="6"/>
        <v>384375</v>
      </c>
      <c r="AF20" s="59">
        <f t="shared" si="6"/>
        <v>576562.5</v>
      </c>
      <c r="AG20" s="59">
        <f t="shared" si="6"/>
        <v>750887.5</v>
      </c>
      <c r="AH20" s="59">
        <f t="shared" si="6"/>
        <v>975562.5</v>
      </c>
      <c r="AI20" s="59">
        <f t="shared" si="6"/>
        <v>1206837.5</v>
      </c>
      <c r="AJ20" s="59">
        <f t="shared" si="6"/>
        <v>1401487.5</v>
      </c>
      <c r="AK20" s="59">
        <f t="shared" si="6"/>
        <v>1488375</v>
      </c>
      <c r="AL20" s="59">
        <f t="shared" si="6"/>
        <v>1577212.5</v>
      </c>
      <c r="AM20" s="59">
        <f t="shared" si="6"/>
        <v>1761825.0000000002</v>
      </c>
    </row>
    <row r="21" ht="12.75">
      <c r="B21" s="3"/>
    </row>
    <row r="22" ht="12.75">
      <c r="B22" s="3" t="s">
        <v>24</v>
      </c>
    </row>
    <row r="23" spans="1:20" s="34" customFormat="1" ht="12.75">
      <c r="A23" s="3"/>
      <c r="B23" s="3"/>
      <c r="C23" s="4" t="s">
        <v>13</v>
      </c>
      <c r="D23" s="61"/>
      <c r="E23" s="61">
        <v>1500</v>
      </c>
      <c r="F23" s="61">
        <v>1500</v>
      </c>
      <c r="G23" s="61">
        <v>1250</v>
      </c>
      <c r="H23" s="61">
        <v>1250</v>
      </c>
      <c r="I23" s="61">
        <v>1250</v>
      </c>
      <c r="J23" s="61">
        <v>1250</v>
      </c>
      <c r="K23" s="61">
        <v>1000</v>
      </c>
      <c r="L23" s="61">
        <v>1000</v>
      </c>
      <c r="M23" s="61">
        <v>1000</v>
      </c>
      <c r="N23" s="61">
        <v>1000</v>
      </c>
      <c r="O23" s="61">
        <v>1000</v>
      </c>
      <c r="P23" s="61">
        <v>1000</v>
      </c>
      <c r="Q23" s="61">
        <v>1000</v>
      </c>
      <c r="R23" s="61">
        <v>1000</v>
      </c>
      <c r="S23" s="61">
        <v>1000</v>
      </c>
      <c r="T23" s="61">
        <v>1000</v>
      </c>
    </row>
    <row r="24" spans="1:20" s="34" customFormat="1" ht="12.75">
      <c r="A24" s="3"/>
      <c r="B24" s="4"/>
      <c r="C24" s="4" t="s">
        <v>14</v>
      </c>
      <c r="D24" s="61"/>
      <c r="E24" s="61"/>
      <c r="F24" s="61"/>
      <c r="G24" s="61"/>
      <c r="H24" s="61"/>
      <c r="I24" s="61">
        <v>2000</v>
      </c>
      <c r="J24" s="61">
        <v>2000</v>
      </c>
      <c r="K24" s="61">
        <v>1500</v>
      </c>
      <c r="L24" s="61">
        <v>1500</v>
      </c>
      <c r="M24" s="61">
        <v>1500</v>
      </c>
      <c r="N24" s="61">
        <v>1500</v>
      </c>
      <c r="O24" s="61">
        <v>1500</v>
      </c>
      <c r="P24" s="61">
        <v>1500</v>
      </c>
      <c r="Q24" s="61">
        <v>1250</v>
      </c>
      <c r="R24" s="61">
        <v>1250</v>
      </c>
      <c r="S24" s="61">
        <v>1000</v>
      </c>
      <c r="T24" s="61">
        <v>1000</v>
      </c>
    </row>
    <row r="25" spans="1:20" s="34" customFormat="1" ht="12.75">
      <c r="A25" s="3"/>
      <c r="B25" s="4"/>
      <c r="C25" s="4" t="s">
        <v>15</v>
      </c>
      <c r="D25" s="61"/>
      <c r="E25" s="61"/>
      <c r="F25" s="61"/>
      <c r="G25" s="61"/>
      <c r="H25" s="61"/>
      <c r="I25" s="61"/>
      <c r="J25" s="61"/>
      <c r="K25" s="61"/>
      <c r="L25" s="61"/>
      <c r="M25" s="61">
        <v>2500</v>
      </c>
      <c r="N25" s="61">
        <v>2500</v>
      </c>
      <c r="O25" s="61">
        <v>2250</v>
      </c>
      <c r="P25" s="61">
        <v>2250</v>
      </c>
      <c r="Q25" s="61">
        <v>2000</v>
      </c>
      <c r="R25" s="61">
        <v>2000</v>
      </c>
      <c r="S25" s="61">
        <v>1750</v>
      </c>
      <c r="T25" s="61">
        <v>1750</v>
      </c>
    </row>
    <row r="26" spans="5:20" ht="12.75"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s="34" customFormat="1" ht="12.75">
      <c r="A27" s="3"/>
      <c r="B27" s="3"/>
      <c r="C27" s="4" t="s">
        <v>13</v>
      </c>
      <c r="D27" s="61"/>
      <c r="E27" s="33">
        <f aca="true" t="shared" si="7" ref="E27:T27">E23*E4</f>
        <v>0</v>
      </c>
      <c r="F27" s="33">
        <f t="shared" si="7"/>
        <v>30000</v>
      </c>
      <c r="G27" s="33">
        <f t="shared" si="7"/>
        <v>62500</v>
      </c>
      <c r="H27" s="33">
        <f t="shared" si="7"/>
        <v>125000</v>
      </c>
      <c r="I27" s="33">
        <f t="shared" si="7"/>
        <v>250000</v>
      </c>
      <c r="J27" s="33">
        <f t="shared" si="7"/>
        <v>375000</v>
      </c>
      <c r="K27" s="33">
        <f t="shared" si="7"/>
        <v>400000</v>
      </c>
      <c r="L27" s="33">
        <f t="shared" si="7"/>
        <v>500000</v>
      </c>
      <c r="M27" s="33">
        <f t="shared" si="7"/>
        <v>750000</v>
      </c>
      <c r="N27" s="33">
        <f t="shared" si="7"/>
        <v>1000000</v>
      </c>
      <c r="O27" s="33">
        <f t="shared" si="7"/>
        <v>1250000</v>
      </c>
      <c r="P27" s="33">
        <f t="shared" si="7"/>
        <v>1500000</v>
      </c>
      <c r="Q27" s="33">
        <f t="shared" si="7"/>
        <v>1500000</v>
      </c>
      <c r="R27" s="33">
        <f t="shared" si="7"/>
        <v>1400000</v>
      </c>
      <c r="S27" s="33">
        <f t="shared" si="7"/>
        <v>1300000</v>
      </c>
      <c r="T27" s="33">
        <f t="shared" si="7"/>
        <v>1200000</v>
      </c>
    </row>
    <row r="28" spans="1:20" s="34" customFormat="1" ht="12.75">
      <c r="A28" s="3"/>
      <c r="B28" s="4"/>
      <c r="C28" s="4" t="s">
        <v>14</v>
      </c>
      <c r="D28" s="61"/>
      <c r="E28" s="33">
        <f aca="true" t="shared" si="8" ref="E28:T28">E24*E5</f>
        <v>0</v>
      </c>
      <c r="F28" s="33">
        <f t="shared" si="8"/>
        <v>0</v>
      </c>
      <c r="G28" s="33">
        <f t="shared" si="8"/>
        <v>0</v>
      </c>
      <c r="H28" s="33">
        <f t="shared" si="8"/>
        <v>0</v>
      </c>
      <c r="I28" s="33">
        <f t="shared" si="8"/>
        <v>40000</v>
      </c>
      <c r="J28" s="33">
        <f t="shared" si="8"/>
        <v>60000</v>
      </c>
      <c r="K28" s="33">
        <f t="shared" si="8"/>
        <v>60000</v>
      </c>
      <c r="L28" s="33">
        <f t="shared" si="8"/>
        <v>75000</v>
      </c>
      <c r="M28" s="33">
        <f t="shared" si="8"/>
        <v>112500</v>
      </c>
      <c r="N28" s="33">
        <f t="shared" si="8"/>
        <v>150000</v>
      </c>
      <c r="O28" s="33">
        <f t="shared" si="8"/>
        <v>225000</v>
      </c>
      <c r="P28" s="33">
        <f t="shared" si="8"/>
        <v>300000</v>
      </c>
      <c r="Q28" s="33">
        <f t="shared" si="8"/>
        <v>500000</v>
      </c>
      <c r="R28" s="33">
        <f t="shared" si="8"/>
        <v>750000</v>
      </c>
      <c r="S28" s="33">
        <f t="shared" si="8"/>
        <v>750000</v>
      </c>
      <c r="T28" s="33">
        <f t="shared" si="8"/>
        <v>1000000</v>
      </c>
    </row>
    <row r="29" spans="1:20" s="34" customFormat="1" ht="12.75">
      <c r="A29" s="3"/>
      <c r="B29" s="4"/>
      <c r="C29" s="4" t="s">
        <v>15</v>
      </c>
      <c r="D29" s="61"/>
      <c r="E29" s="33">
        <f aca="true" t="shared" si="9" ref="E29:T29">E25*E6</f>
        <v>0</v>
      </c>
      <c r="F29" s="33">
        <f t="shared" si="9"/>
        <v>0</v>
      </c>
      <c r="G29" s="33">
        <f t="shared" si="9"/>
        <v>0</v>
      </c>
      <c r="H29" s="33">
        <f t="shared" si="9"/>
        <v>0</v>
      </c>
      <c r="I29" s="33">
        <f t="shared" si="9"/>
        <v>0</v>
      </c>
      <c r="J29" s="33">
        <f t="shared" si="9"/>
        <v>0</v>
      </c>
      <c r="K29" s="33">
        <f t="shared" si="9"/>
        <v>0</v>
      </c>
      <c r="L29" s="33">
        <f t="shared" si="9"/>
        <v>0</v>
      </c>
      <c r="M29" s="33">
        <f t="shared" si="9"/>
        <v>25000</v>
      </c>
      <c r="N29" s="33">
        <f t="shared" si="9"/>
        <v>62500</v>
      </c>
      <c r="O29" s="33">
        <f t="shared" si="9"/>
        <v>112500</v>
      </c>
      <c r="P29" s="33">
        <f t="shared" si="9"/>
        <v>168750</v>
      </c>
      <c r="Q29" s="33">
        <f t="shared" si="9"/>
        <v>200000</v>
      </c>
      <c r="R29" s="33">
        <f t="shared" si="9"/>
        <v>300000</v>
      </c>
      <c r="S29" s="33">
        <f t="shared" si="9"/>
        <v>350000</v>
      </c>
      <c r="T29" s="33">
        <f t="shared" si="9"/>
        <v>437500</v>
      </c>
    </row>
    <row r="30" spans="3:20" ht="12.75">
      <c r="C30" s="4" t="s">
        <v>25</v>
      </c>
      <c r="E30" s="63">
        <f>SUM(E27:E29)</f>
        <v>0</v>
      </c>
      <c r="F30" s="63">
        <f aca="true" t="shared" si="10" ref="F30:T30">SUM(F27:F29)</f>
        <v>30000</v>
      </c>
      <c r="G30" s="63">
        <f t="shared" si="10"/>
        <v>62500</v>
      </c>
      <c r="H30" s="63">
        <f t="shared" si="10"/>
        <v>125000</v>
      </c>
      <c r="I30" s="63">
        <f t="shared" si="10"/>
        <v>290000</v>
      </c>
      <c r="J30" s="63">
        <f t="shared" si="10"/>
        <v>435000</v>
      </c>
      <c r="K30" s="63">
        <f t="shared" si="10"/>
        <v>460000</v>
      </c>
      <c r="L30" s="63">
        <f t="shared" si="10"/>
        <v>575000</v>
      </c>
      <c r="M30" s="63">
        <f t="shared" si="10"/>
        <v>887500</v>
      </c>
      <c r="N30" s="63">
        <f t="shared" si="10"/>
        <v>1212500</v>
      </c>
      <c r="O30" s="63">
        <f t="shared" si="10"/>
        <v>1587500</v>
      </c>
      <c r="P30" s="63">
        <f t="shared" si="10"/>
        <v>1968750</v>
      </c>
      <c r="Q30" s="63">
        <f t="shared" si="10"/>
        <v>2200000</v>
      </c>
      <c r="R30" s="63">
        <f t="shared" si="10"/>
        <v>2450000</v>
      </c>
      <c r="S30" s="63">
        <f t="shared" si="10"/>
        <v>2400000</v>
      </c>
      <c r="T30" s="63">
        <f t="shared" si="10"/>
        <v>2637500</v>
      </c>
    </row>
    <row r="31" spans="5:20" ht="12.75"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ht="12.75">
      <c r="B32" s="3" t="s">
        <v>26</v>
      </c>
    </row>
    <row r="33" spans="3:20" ht="12.75">
      <c r="C33" s="4" t="s">
        <v>95</v>
      </c>
      <c r="E33" s="24">
        <f>X20</f>
        <v>69000</v>
      </c>
      <c r="F33" s="24">
        <f aca="true" t="shared" si="11" ref="F33:T33">Y20</f>
        <v>69000</v>
      </c>
      <c r="G33" s="24">
        <f t="shared" si="11"/>
        <v>69000</v>
      </c>
      <c r="H33" s="24">
        <f t="shared" si="11"/>
        <v>113562.5</v>
      </c>
      <c r="I33" s="24">
        <f t="shared" si="11"/>
        <v>172575</v>
      </c>
      <c r="J33" s="24">
        <f t="shared" si="11"/>
        <v>233537.5</v>
      </c>
      <c r="K33" s="24">
        <f t="shared" si="11"/>
        <v>338800</v>
      </c>
      <c r="L33" s="24">
        <f t="shared" si="11"/>
        <v>384375</v>
      </c>
      <c r="M33" s="24">
        <f t="shared" si="11"/>
        <v>576562.5</v>
      </c>
      <c r="N33" s="24">
        <f t="shared" si="11"/>
        <v>750887.5</v>
      </c>
      <c r="O33" s="24">
        <f t="shared" si="11"/>
        <v>975562.5</v>
      </c>
      <c r="P33" s="24">
        <f t="shared" si="11"/>
        <v>1206837.5</v>
      </c>
      <c r="Q33" s="24">
        <f t="shared" si="11"/>
        <v>1401487.5</v>
      </c>
      <c r="R33" s="24">
        <f t="shared" si="11"/>
        <v>1488375</v>
      </c>
      <c r="S33" s="24">
        <f t="shared" si="11"/>
        <v>1577212.5</v>
      </c>
      <c r="T33" s="24">
        <f t="shared" si="11"/>
        <v>1761825.0000000002</v>
      </c>
    </row>
    <row r="34" spans="3:20" ht="12.75">
      <c r="C34" s="4" t="s">
        <v>27</v>
      </c>
      <c r="D34" s="8" t="s">
        <v>153</v>
      </c>
      <c r="E34" s="24">
        <f>E30</f>
        <v>0</v>
      </c>
      <c r="F34" s="24">
        <f aca="true" t="shared" si="12" ref="F34:T34">F30</f>
        <v>30000</v>
      </c>
      <c r="G34" s="24">
        <f t="shared" si="12"/>
        <v>62500</v>
      </c>
      <c r="H34" s="24">
        <f t="shared" si="12"/>
        <v>125000</v>
      </c>
      <c r="I34" s="24">
        <f t="shared" si="12"/>
        <v>290000</v>
      </c>
      <c r="J34" s="24">
        <f t="shared" si="12"/>
        <v>435000</v>
      </c>
      <c r="K34" s="24">
        <f t="shared" si="12"/>
        <v>460000</v>
      </c>
      <c r="L34" s="24">
        <f t="shared" si="12"/>
        <v>575000</v>
      </c>
      <c r="M34" s="24">
        <f t="shared" si="12"/>
        <v>887500</v>
      </c>
      <c r="N34" s="24">
        <f t="shared" si="12"/>
        <v>1212500</v>
      </c>
      <c r="O34" s="24">
        <f t="shared" si="12"/>
        <v>1587500</v>
      </c>
      <c r="P34" s="24">
        <f t="shared" si="12"/>
        <v>1968750</v>
      </c>
      <c r="Q34" s="24">
        <f t="shared" si="12"/>
        <v>2200000</v>
      </c>
      <c r="R34" s="24">
        <f t="shared" si="12"/>
        <v>2450000</v>
      </c>
      <c r="S34" s="24">
        <f t="shared" si="12"/>
        <v>2400000</v>
      </c>
      <c r="T34" s="24">
        <f t="shared" si="12"/>
        <v>2637500</v>
      </c>
    </row>
    <row r="35" spans="1:20" s="34" customFormat="1" ht="12.75">
      <c r="A35" s="3"/>
      <c r="B35" s="4"/>
      <c r="C35" s="4" t="s">
        <v>154</v>
      </c>
      <c r="D35" s="8"/>
      <c r="E35" s="64">
        <v>15000</v>
      </c>
      <c r="F35" s="64">
        <v>15000</v>
      </c>
      <c r="G35" s="64">
        <v>15000</v>
      </c>
      <c r="H35" s="64">
        <v>15000</v>
      </c>
      <c r="I35" s="64">
        <v>30000</v>
      </c>
      <c r="J35" s="64">
        <v>30000</v>
      </c>
      <c r="K35" s="64">
        <v>30000</v>
      </c>
      <c r="L35" s="64">
        <v>30000</v>
      </c>
      <c r="M35" s="64">
        <v>50000</v>
      </c>
      <c r="N35" s="64">
        <v>50000</v>
      </c>
      <c r="O35" s="64">
        <v>50000</v>
      </c>
      <c r="P35" s="64">
        <v>50000</v>
      </c>
      <c r="Q35" s="64">
        <v>75000</v>
      </c>
      <c r="R35" s="64">
        <v>75000</v>
      </c>
      <c r="S35" s="64">
        <v>75000</v>
      </c>
      <c r="T35" s="64">
        <v>75000</v>
      </c>
    </row>
    <row r="36" spans="1:20" s="43" customFormat="1" ht="12.75">
      <c r="A36" s="3"/>
      <c r="B36" s="4"/>
      <c r="C36" s="4" t="s">
        <v>28</v>
      </c>
      <c r="D36" s="8"/>
      <c r="E36" s="65">
        <f>SUM(E33:E35)</f>
        <v>84000</v>
      </c>
      <c r="F36" s="65">
        <f aca="true" t="shared" si="13" ref="F36:T36">SUM(F33:F35)</f>
        <v>114000</v>
      </c>
      <c r="G36" s="65">
        <f t="shared" si="13"/>
        <v>146500</v>
      </c>
      <c r="H36" s="65">
        <f t="shared" si="13"/>
        <v>253562.5</v>
      </c>
      <c r="I36" s="65">
        <f t="shared" si="13"/>
        <v>492575</v>
      </c>
      <c r="J36" s="65">
        <f t="shared" si="13"/>
        <v>698537.5</v>
      </c>
      <c r="K36" s="65">
        <f t="shared" si="13"/>
        <v>828800</v>
      </c>
      <c r="L36" s="65">
        <f t="shared" si="13"/>
        <v>989375</v>
      </c>
      <c r="M36" s="65">
        <f t="shared" si="13"/>
        <v>1514062.5</v>
      </c>
      <c r="N36" s="65">
        <f t="shared" si="13"/>
        <v>2013387.5</v>
      </c>
      <c r="O36" s="65">
        <f t="shared" si="13"/>
        <v>2613062.5</v>
      </c>
      <c r="P36" s="65">
        <f t="shared" si="13"/>
        <v>3225587.5</v>
      </c>
      <c r="Q36" s="65">
        <f t="shared" si="13"/>
        <v>3676487.5</v>
      </c>
      <c r="R36" s="65">
        <f t="shared" si="13"/>
        <v>4013375</v>
      </c>
      <c r="S36" s="65">
        <f t="shared" si="13"/>
        <v>4052212.5</v>
      </c>
      <c r="T36" s="65">
        <f t="shared" si="13"/>
        <v>4474325</v>
      </c>
    </row>
    <row r="38" spans="1:20" s="6" customFormat="1" ht="12.75">
      <c r="A38" s="3" t="s">
        <v>29</v>
      </c>
      <c r="D38" s="6" t="s">
        <v>11</v>
      </c>
      <c r="E38" s="6" t="s">
        <v>119</v>
      </c>
      <c r="F38" s="6" t="s">
        <v>120</v>
      </c>
      <c r="G38" s="6" t="s">
        <v>121</v>
      </c>
      <c r="H38" s="6" t="s">
        <v>122</v>
      </c>
      <c r="I38" s="6" t="s">
        <v>119</v>
      </c>
      <c r="J38" s="6" t="s">
        <v>120</v>
      </c>
      <c r="K38" s="6" t="s">
        <v>121</v>
      </c>
      <c r="L38" s="6" t="s">
        <v>122</v>
      </c>
      <c r="M38" s="6" t="s">
        <v>119</v>
      </c>
      <c r="N38" s="6" t="s">
        <v>120</v>
      </c>
      <c r="O38" s="6" t="s">
        <v>121</v>
      </c>
      <c r="P38" s="6" t="s">
        <v>122</v>
      </c>
      <c r="Q38" s="6" t="s">
        <v>119</v>
      </c>
      <c r="R38" s="6" t="s">
        <v>120</v>
      </c>
      <c r="S38" s="6" t="s">
        <v>121</v>
      </c>
      <c r="T38" s="6" t="s">
        <v>122</v>
      </c>
    </row>
    <row r="39" spans="5:20" s="6" customFormat="1" ht="12.75">
      <c r="E39" s="6" t="s">
        <v>79</v>
      </c>
      <c r="F39" s="6" t="s">
        <v>79</v>
      </c>
      <c r="G39" s="6" t="s">
        <v>79</v>
      </c>
      <c r="H39" s="6" t="s">
        <v>79</v>
      </c>
      <c r="I39" s="6" t="s">
        <v>86</v>
      </c>
      <c r="J39" s="6" t="s">
        <v>86</v>
      </c>
      <c r="K39" s="6" t="s">
        <v>86</v>
      </c>
      <c r="L39" s="6" t="s">
        <v>86</v>
      </c>
      <c r="M39" s="6" t="s">
        <v>87</v>
      </c>
      <c r="N39" s="6" t="s">
        <v>87</v>
      </c>
      <c r="O39" s="6" t="s">
        <v>87</v>
      </c>
      <c r="P39" s="6" t="s">
        <v>87</v>
      </c>
      <c r="Q39" s="6" t="s">
        <v>88</v>
      </c>
      <c r="R39" s="6" t="s">
        <v>88</v>
      </c>
      <c r="S39" s="6" t="s">
        <v>88</v>
      </c>
      <c r="T39" s="6" t="s">
        <v>88</v>
      </c>
    </row>
    <row r="40" ht="12.75">
      <c r="B40" s="3" t="s">
        <v>30</v>
      </c>
    </row>
    <row r="41" spans="1:39" s="34" customFormat="1" ht="12.75">
      <c r="A41" s="3"/>
      <c r="B41" s="3"/>
      <c r="C41" s="4" t="s">
        <v>31</v>
      </c>
      <c r="D41" s="8"/>
      <c r="E41" s="55"/>
      <c r="F41" s="55"/>
      <c r="G41" s="55"/>
      <c r="H41" s="55"/>
      <c r="I41" s="55">
        <v>1</v>
      </c>
      <c r="J41" s="55">
        <v>1</v>
      </c>
      <c r="K41" s="55">
        <v>1</v>
      </c>
      <c r="L41" s="55">
        <v>1</v>
      </c>
      <c r="M41" s="55">
        <v>1</v>
      </c>
      <c r="N41" s="55">
        <v>1</v>
      </c>
      <c r="O41" s="55">
        <v>1</v>
      </c>
      <c r="P41" s="55">
        <v>1</v>
      </c>
      <c r="Q41" s="55">
        <v>1</v>
      </c>
      <c r="R41" s="55">
        <v>1</v>
      </c>
      <c r="S41" s="55">
        <v>1</v>
      </c>
      <c r="T41" s="55">
        <v>1</v>
      </c>
      <c r="W41" s="31">
        <v>135000</v>
      </c>
      <c r="X41" s="33">
        <f>E41*($W41/4)*'Staffing Plan'!Z$4</f>
        <v>0</v>
      </c>
      <c r="Y41" s="33">
        <f>F41*($W41/4)*'Staffing Plan'!AA$4</f>
        <v>0</v>
      </c>
      <c r="Z41" s="33">
        <f>G41*($W41/4)*'Staffing Plan'!AB$4</f>
        <v>0</v>
      </c>
      <c r="AA41" s="33">
        <f>H41*($W41/4)*'Staffing Plan'!AC$4</f>
        <v>0</v>
      </c>
      <c r="AB41" s="33">
        <f>I41*($W41/4)*'Staffing Plan'!AD$4</f>
        <v>39487.5</v>
      </c>
      <c r="AC41" s="33">
        <f>J41*($W41/4)*'Staffing Plan'!AE$4</f>
        <v>40162.5</v>
      </c>
      <c r="AD41" s="33">
        <f>K41*($W41/4)*'Staffing Plan'!AF$4</f>
        <v>40837.5</v>
      </c>
      <c r="AE41" s="33">
        <f>L41*($W41/4)*'Staffing Plan'!AG$4</f>
        <v>41512.5</v>
      </c>
      <c r="AF41" s="33">
        <f>M41*($W41/4)*'Staffing Plan'!AH$4</f>
        <v>42187.5</v>
      </c>
      <c r="AG41" s="33">
        <f>N41*($W41/4)*'Staffing Plan'!AI$4</f>
        <v>42862.5</v>
      </c>
      <c r="AH41" s="33">
        <f>O41*($W41/4)*'Staffing Plan'!AJ$4</f>
        <v>43537.5</v>
      </c>
      <c r="AI41" s="33">
        <f>P41*($W41/4)*'Staffing Plan'!AK$4</f>
        <v>44212.5</v>
      </c>
      <c r="AJ41" s="33">
        <f>Q41*($W41/4)*'Staffing Plan'!AL$4</f>
        <v>44887.5</v>
      </c>
      <c r="AK41" s="33">
        <f>R41*($W41/4)*'Staffing Plan'!AM$4</f>
        <v>45562.5</v>
      </c>
      <c r="AL41" s="33">
        <f>S41*($W41/4)*'Staffing Plan'!AN$4</f>
        <v>46237.5</v>
      </c>
      <c r="AM41" s="33">
        <f>T41*($W41/4)*'Staffing Plan'!AO$4</f>
        <v>46912.50000000001</v>
      </c>
    </row>
    <row r="42" spans="1:39" s="34" customFormat="1" ht="12.75">
      <c r="A42" s="3"/>
      <c r="B42" s="3"/>
      <c r="C42" s="4" t="s">
        <v>32</v>
      </c>
      <c r="D42" s="8"/>
      <c r="E42" s="55">
        <v>1</v>
      </c>
      <c r="F42" s="55">
        <v>1</v>
      </c>
      <c r="G42" s="55">
        <v>1</v>
      </c>
      <c r="H42" s="55">
        <v>1</v>
      </c>
      <c r="I42" s="55">
        <v>1</v>
      </c>
      <c r="J42" s="55">
        <v>1</v>
      </c>
      <c r="K42" s="55">
        <v>1</v>
      </c>
      <c r="L42" s="55">
        <v>1</v>
      </c>
      <c r="M42" s="55">
        <v>1</v>
      </c>
      <c r="N42" s="55">
        <v>1</v>
      </c>
      <c r="O42" s="55">
        <v>1</v>
      </c>
      <c r="P42" s="55">
        <v>1</v>
      </c>
      <c r="Q42" s="55">
        <v>1</v>
      </c>
      <c r="R42" s="55">
        <v>1</v>
      </c>
      <c r="S42" s="55">
        <v>1</v>
      </c>
      <c r="T42" s="55">
        <v>1</v>
      </c>
      <c r="W42" s="31">
        <v>100000</v>
      </c>
      <c r="X42" s="33">
        <f>E42*($W42/4)*'Staffing Plan'!Z$4</f>
        <v>28749.999999999996</v>
      </c>
      <c r="Y42" s="33">
        <f>F42*($W42/4)*'Staffing Plan'!AA$4</f>
        <v>28749.999999999996</v>
      </c>
      <c r="Z42" s="33">
        <f>G42*($W42/4)*'Staffing Plan'!AB$4</f>
        <v>28749.999999999996</v>
      </c>
      <c r="AA42" s="33">
        <f>H42*($W42/4)*'Staffing Plan'!AC$4</f>
        <v>28749.999999999996</v>
      </c>
      <c r="AB42" s="33">
        <f>I42*($W42/4)*'Staffing Plan'!AD$4</f>
        <v>29250</v>
      </c>
      <c r="AC42" s="33">
        <f>J42*($W42/4)*'Staffing Plan'!AE$4</f>
        <v>29750</v>
      </c>
      <c r="AD42" s="33">
        <f>K42*($W42/4)*'Staffing Plan'!AF$4</f>
        <v>30250</v>
      </c>
      <c r="AE42" s="33">
        <f>L42*($W42/4)*'Staffing Plan'!AG$4</f>
        <v>30750</v>
      </c>
      <c r="AF42" s="33">
        <f>M42*($W42/4)*'Staffing Plan'!AH$4</f>
        <v>31250</v>
      </c>
      <c r="AG42" s="33">
        <f>N42*($W42/4)*'Staffing Plan'!AI$4</f>
        <v>31750</v>
      </c>
      <c r="AH42" s="33">
        <f>O42*($W42/4)*'Staffing Plan'!AJ$4</f>
        <v>32250</v>
      </c>
      <c r="AI42" s="33">
        <f>P42*($W42/4)*'Staffing Plan'!AK$4</f>
        <v>32750</v>
      </c>
      <c r="AJ42" s="33">
        <f>Q42*($W42/4)*'Staffing Plan'!AL$4</f>
        <v>33250</v>
      </c>
      <c r="AK42" s="33">
        <f>R42*($W42/4)*'Staffing Plan'!AM$4</f>
        <v>33750</v>
      </c>
      <c r="AL42" s="33">
        <f>S42*($W42/4)*'Staffing Plan'!AN$4</f>
        <v>34250</v>
      </c>
      <c r="AM42" s="33">
        <f>T42*($W42/4)*'Staffing Plan'!AO$4</f>
        <v>34750</v>
      </c>
    </row>
    <row r="43" spans="1:39" s="34" customFormat="1" ht="12.75">
      <c r="A43" s="3"/>
      <c r="B43" s="3"/>
      <c r="C43" s="4" t="s">
        <v>33</v>
      </c>
      <c r="D43" s="8"/>
      <c r="E43" s="55">
        <v>1</v>
      </c>
      <c r="F43" s="55">
        <v>1</v>
      </c>
      <c r="G43" s="55">
        <v>1</v>
      </c>
      <c r="H43" s="55">
        <v>1</v>
      </c>
      <c r="I43" s="55">
        <v>1</v>
      </c>
      <c r="J43" s="55">
        <v>1</v>
      </c>
      <c r="K43" s="55">
        <v>1</v>
      </c>
      <c r="L43" s="55">
        <v>1</v>
      </c>
      <c r="M43" s="55">
        <v>1</v>
      </c>
      <c r="N43" s="55">
        <v>1</v>
      </c>
      <c r="O43" s="55">
        <v>1</v>
      </c>
      <c r="P43" s="55">
        <v>1</v>
      </c>
      <c r="Q43" s="55">
        <v>1</v>
      </c>
      <c r="R43" s="55">
        <v>1</v>
      </c>
      <c r="S43" s="55">
        <v>1</v>
      </c>
      <c r="T43" s="55">
        <v>1</v>
      </c>
      <c r="W43" s="31">
        <v>80000</v>
      </c>
      <c r="X43" s="33">
        <f>E43*($W43/4)*'Staffing Plan'!Z$4</f>
        <v>23000</v>
      </c>
      <c r="Y43" s="33">
        <f>F43*($W43/4)*'Staffing Plan'!AA$4</f>
        <v>23000</v>
      </c>
      <c r="Z43" s="33">
        <f>G43*($W43/4)*'Staffing Plan'!AB$4</f>
        <v>23000</v>
      </c>
      <c r="AA43" s="33">
        <f>H43*($W43/4)*'Staffing Plan'!AC$4</f>
        <v>23000</v>
      </c>
      <c r="AB43" s="33">
        <f>I43*($W43/4)*'Staffing Plan'!AD$4</f>
        <v>23400</v>
      </c>
      <c r="AC43" s="33">
        <f>J43*($W43/4)*'Staffing Plan'!AE$4</f>
        <v>23800</v>
      </c>
      <c r="AD43" s="33">
        <f>K43*($W43/4)*'Staffing Plan'!AF$4</f>
        <v>24200</v>
      </c>
      <c r="AE43" s="33">
        <f>L43*($W43/4)*'Staffing Plan'!AG$4</f>
        <v>24600</v>
      </c>
      <c r="AF43" s="33">
        <f>M43*($W43/4)*'Staffing Plan'!AH$4</f>
        <v>25000</v>
      </c>
      <c r="AG43" s="33">
        <f>N43*($W43/4)*'Staffing Plan'!AI$4</f>
        <v>25400</v>
      </c>
      <c r="AH43" s="33">
        <f>O43*($W43/4)*'Staffing Plan'!AJ$4</f>
        <v>25800</v>
      </c>
      <c r="AI43" s="33">
        <f>P43*($W43/4)*'Staffing Plan'!AK$4</f>
        <v>26200</v>
      </c>
      <c r="AJ43" s="33">
        <f>Q43*($W43/4)*'Staffing Plan'!AL$4</f>
        <v>26600</v>
      </c>
      <c r="AK43" s="33">
        <f>R43*($W43/4)*'Staffing Plan'!AM$4</f>
        <v>27000</v>
      </c>
      <c r="AL43" s="33">
        <f>S43*($W43/4)*'Staffing Plan'!AN$4</f>
        <v>27400.000000000004</v>
      </c>
      <c r="AM43" s="33">
        <f>T43*($W43/4)*'Staffing Plan'!AO$4</f>
        <v>27800.000000000004</v>
      </c>
    </row>
    <row r="44" spans="1:39" s="34" customFormat="1" ht="12.75">
      <c r="A44" s="3"/>
      <c r="B44" s="3"/>
      <c r="C44" s="4" t="s">
        <v>34</v>
      </c>
      <c r="D44" s="8"/>
      <c r="E44" s="57">
        <v>1</v>
      </c>
      <c r="F44" s="57">
        <v>1</v>
      </c>
      <c r="G44" s="57">
        <v>1</v>
      </c>
      <c r="H44" s="57">
        <v>1</v>
      </c>
      <c r="I44" s="57">
        <v>1</v>
      </c>
      <c r="J44" s="57">
        <v>1</v>
      </c>
      <c r="K44" s="57">
        <v>1</v>
      </c>
      <c r="L44" s="57">
        <v>1</v>
      </c>
      <c r="M44" s="57">
        <v>1</v>
      </c>
      <c r="N44" s="57">
        <v>1</v>
      </c>
      <c r="O44" s="57">
        <v>1</v>
      </c>
      <c r="P44" s="57">
        <v>1</v>
      </c>
      <c r="Q44" s="57">
        <v>1</v>
      </c>
      <c r="R44" s="57">
        <v>1</v>
      </c>
      <c r="S44" s="57">
        <v>1</v>
      </c>
      <c r="T44" s="57">
        <v>1</v>
      </c>
      <c r="W44" s="31">
        <v>40000</v>
      </c>
      <c r="X44" s="33">
        <f>E44*($W44/4)*'Staffing Plan'!Z$4</f>
        <v>11500</v>
      </c>
      <c r="Y44" s="33">
        <f>F44*($W44/4)*'Staffing Plan'!AA$4</f>
        <v>11500</v>
      </c>
      <c r="Z44" s="33">
        <f>G44*($W44/4)*'Staffing Plan'!AB$4</f>
        <v>11500</v>
      </c>
      <c r="AA44" s="33">
        <f>H44*($W44/4)*'Staffing Plan'!AC$4</f>
        <v>11500</v>
      </c>
      <c r="AB44" s="33">
        <f>I44*($W44/4)*'Staffing Plan'!AD$4</f>
        <v>11700</v>
      </c>
      <c r="AC44" s="33">
        <f>J44*($W44/4)*'Staffing Plan'!AE$4</f>
        <v>11900</v>
      </c>
      <c r="AD44" s="33">
        <f>K44*($W44/4)*'Staffing Plan'!AF$4</f>
        <v>12100</v>
      </c>
      <c r="AE44" s="33">
        <f>L44*($W44/4)*'Staffing Plan'!AG$4</f>
        <v>12300</v>
      </c>
      <c r="AF44" s="33">
        <f>M44*($W44/4)*'Staffing Plan'!AH$4</f>
        <v>12500</v>
      </c>
      <c r="AG44" s="33">
        <f>N44*($W44/4)*'Staffing Plan'!AI$4</f>
        <v>12700</v>
      </c>
      <c r="AH44" s="33">
        <f>O44*($W44/4)*'Staffing Plan'!AJ$4</f>
        <v>12900</v>
      </c>
      <c r="AI44" s="33">
        <f>P44*($W44/4)*'Staffing Plan'!AK$4</f>
        <v>13100</v>
      </c>
      <c r="AJ44" s="33">
        <f>Q44*($W44/4)*'Staffing Plan'!AL$4</f>
        <v>13300</v>
      </c>
      <c r="AK44" s="33">
        <f>R44*($W44/4)*'Staffing Plan'!AM$4</f>
        <v>13500</v>
      </c>
      <c r="AL44" s="33">
        <f>S44*($W44/4)*'Staffing Plan'!AN$4</f>
        <v>13700.000000000002</v>
      </c>
      <c r="AM44" s="33">
        <f>T44*($W44/4)*'Staffing Plan'!AO$4</f>
        <v>13900.000000000002</v>
      </c>
    </row>
    <row r="45" spans="1:39" s="60" customFormat="1" ht="12.75">
      <c r="A45" s="3"/>
      <c r="B45" s="3"/>
      <c r="C45" s="4" t="s">
        <v>35</v>
      </c>
      <c r="D45" s="8"/>
      <c r="E45" s="58">
        <f aca="true" t="shared" si="14" ref="E45:T45">SUM(E41:E44)</f>
        <v>3</v>
      </c>
      <c r="F45" s="58">
        <f t="shared" si="14"/>
        <v>3</v>
      </c>
      <c r="G45" s="58">
        <f t="shared" si="14"/>
        <v>3</v>
      </c>
      <c r="H45" s="58">
        <f t="shared" si="14"/>
        <v>3</v>
      </c>
      <c r="I45" s="58">
        <f t="shared" si="14"/>
        <v>4</v>
      </c>
      <c r="J45" s="58">
        <f t="shared" si="14"/>
        <v>4</v>
      </c>
      <c r="K45" s="58">
        <f t="shared" si="14"/>
        <v>4</v>
      </c>
      <c r="L45" s="58">
        <f t="shared" si="14"/>
        <v>4</v>
      </c>
      <c r="M45" s="58">
        <f t="shared" si="14"/>
        <v>4</v>
      </c>
      <c r="N45" s="58">
        <f t="shared" si="14"/>
        <v>4</v>
      </c>
      <c r="O45" s="58">
        <f t="shared" si="14"/>
        <v>4</v>
      </c>
      <c r="P45" s="58">
        <f t="shared" si="14"/>
        <v>4</v>
      </c>
      <c r="Q45" s="58">
        <f t="shared" si="14"/>
        <v>4</v>
      </c>
      <c r="R45" s="58">
        <f t="shared" si="14"/>
        <v>4</v>
      </c>
      <c r="S45" s="58">
        <f t="shared" si="14"/>
        <v>4</v>
      </c>
      <c r="T45" s="58">
        <f t="shared" si="14"/>
        <v>4</v>
      </c>
      <c r="U45" s="5"/>
      <c r="V45" s="5"/>
      <c r="W45" s="5"/>
      <c r="X45" s="59">
        <f aca="true" t="shared" si="15" ref="X45:AM45">SUM(X41:X44)</f>
        <v>63250</v>
      </c>
      <c r="Y45" s="59">
        <f t="shared" si="15"/>
        <v>63250</v>
      </c>
      <c r="Z45" s="59">
        <f t="shared" si="15"/>
        <v>63250</v>
      </c>
      <c r="AA45" s="59">
        <f t="shared" si="15"/>
        <v>63250</v>
      </c>
      <c r="AB45" s="59">
        <f t="shared" si="15"/>
        <v>103837.5</v>
      </c>
      <c r="AC45" s="59">
        <f t="shared" si="15"/>
        <v>105612.5</v>
      </c>
      <c r="AD45" s="59">
        <f t="shared" si="15"/>
        <v>107387.5</v>
      </c>
      <c r="AE45" s="59">
        <f t="shared" si="15"/>
        <v>109162.5</v>
      </c>
      <c r="AF45" s="59">
        <f t="shared" si="15"/>
        <v>110937.5</v>
      </c>
      <c r="AG45" s="59">
        <f t="shared" si="15"/>
        <v>112712.5</v>
      </c>
      <c r="AH45" s="59">
        <f t="shared" si="15"/>
        <v>114487.5</v>
      </c>
      <c r="AI45" s="59">
        <f t="shared" si="15"/>
        <v>116262.5</v>
      </c>
      <c r="AJ45" s="59">
        <f t="shared" si="15"/>
        <v>118037.5</v>
      </c>
      <c r="AK45" s="59">
        <f t="shared" si="15"/>
        <v>119812.5</v>
      </c>
      <c r="AL45" s="59">
        <f t="shared" si="15"/>
        <v>121587.5</v>
      </c>
      <c r="AM45" s="59">
        <f t="shared" si="15"/>
        <v>123362.5</v>
      </c>
    </row>
    <row r="47" ht="12.75">
      <c r="B47" s="3" t="s">
        <v>152</v>
      </c>
    </row>
    <row r="48" spans="3:20" ht="12.75">
      <c r="C48" s="4" t="s">
        <v>95</v>
      </c>
      <c r="E48" s="24">
        <f aca="true" t="shared" si="16" ref="E48:T48">X45</f>
        <v>63250</v>
      </c>
      <c r="F48" s="24">
        <f t="shared" si="16"/>
        <v>63250</v>
      </c>
      <c r="G48" s="24">
        <f t="shared" si="16"/>
        <v>63250</v>
      </c>
      <c r="H48" s="24">
        <f t="shared" si="16"/>
        <v>63250</v>
      </c>
      <c r="I48" s="24">
        <f t="shared" si="16"/>
        <v>103837.5</v>
      </c>
      <c r="J48" s="24">
        <f t="shared" si="16"/>
        <v>105612.5</v>
      </c>
      <c r="K48" s="24">
        <f t="shared" si="16"/>
        <v>107387.5</v>
      </c>
      <c r="L48" s="24">
        <f t="shared" si="16"/>
        <v>109162.5</v>
      </c>
      <c r="M48" s="24">
        <f t="shared" si="16"/>
        <v>110937.5</v>
      </c>
      <c r="N48" s="24">
        <f t="shared" si="16"/>
        <v>112712.5</v>
      </c>
      <c r="O48" s="24">
        <f t="shared" si="16"/>
        <v>114487.5</v>
      </c>
      <c r="P48" s="24">
        <f t="shared" si="16"/>
        <v>116262.5</v>
      </c>
      <c r="Q48" s="24">
        <f t="shared" si="16"/>
        <v>118037.5</v>
      </c>
      <c r="R48" s="24">
        <f t="shared" si="16"/>
        <v>119812.5</v>
      </c>
      <c r="S48" s="24">
        <f t="shared" si="16"/>
        <v>121587.5</v>
      </c>
      <c r="T48" s="24">
        <f t="shared" si="16"/>
        <v>123362.5</v>
      </c>
    </row>
    <row r="49" spans="3:20" ht="12.75">
      <c r="C49" s="4" t="s">
        <v>36</v>
      </c>
      <c r="D49" s="66">
        <v>0.04</v>
      </c>
      <c r="E49" s="24">
        <f aca="true" t="shared" si="17" ref="E49:T49">E11*$D49/4</f>
        <v>0</v>
      </c>
      <c r="F49" s="24">
        <f t="shared" si="17"/>
        <v>2000</v>
      </c>
      <c r="G49" s="24">
        <f t="shared" si="17"/>
        <v>6500</v>
      </c>
      <c r="H49" s="24">
        <f t="shared" si="17"/>
        <v>14875</v>
      </c>
      <c r="I49" s="24">
        <f t="shared" si="17"/>
        <v>28556.25</v>
      </c>
      <c r="J49" s="24">
        <f t="shared" si="17"/>
        <v>47517.1875</v>
      </c>
      <c r="K49" s="24">
        <f t="shared" si="17"/>
        <v>70437.890625</v>
      </c>
      <c r="L49" s="24">
        <f t="shared" si="17"/>
        <v>96328.41796875</v>
      </c>
      <c r="M49" s="24">
        <f t="shared" si="17"/>
        <v>126346.3134765625</v>
      </c>
      <c r="N49" s="24">
        <f t="shared" si="17"/>
        <v>168759.73510742188</v>
      </c>
      <c r="O49" s="24">
        <f t="shared" si="17"/>
        <v>224569.8013305664</v>
      </c>
      <c r="P49" s="24">
        <f t="shared" si="17"/>
        <v>290427.3509979248</v>
      </c>
      <c r="Q49" s="24">
        <f t="shared" si="17"/>
        <v>340820.5132484436</v>
      </c>
      <c r="R49" s="24">
        <f t="shared" si="17"/>
        <v>397615.3849363327</v>
      </c>
      <c r="S49" s="24">
        <f t="shared" si="17"/>
        <v>455211.5387022495</v>
      </c>
      <c r="T49" s="24">
        <f t="shared" si="17"/>
        <v>521408.65402668715</v>
      </c>
    </row>
    <row r="50" spans="1:20" s="34" customFormat="1" ht="12.75">
      <c r="A50" s="3"/>
      <c r="B50" s="4"/>
      <c r="C50" s="4" t="s">
        <v>155</v>
      </c>
      <c r="D50" s="8"/>
      <c r="E50" s="64">
        <f>E48/5</f>
        <v>12650</v>
      </c>
      <c r="F50" s="64">
        <f aca="true" t="shared" si="18" ref="F50:T50">F48/5</f>
        <v>12650</v>
      </c>
      <c r="G50" s="64">
        <f t="shared" si="18"/>
        <v>12650</v>
      </c>
      <c r="H50" s="64">
        <f t="shared" si="18"/>
        <v>12650</v>
      </c>
      <c r="I50" s="64">
        <f t="shared" si="18"/>
        <v>20767.5</v>
      </c>
      <c r="J50" s="64">
        <f t="shared" si="18"/>
        <v>21122.5</v>
      </c>
      <c r="K50" s="64">
        <f t="shared" si="18"/>
        <v>21477.5</v>
      </c>
      <c r="L50" s="64">
        <f t="shared" si="18"/>
        <v>21832.5</v>
      </c>
      <c r="M50" s="64">
        <f t="shared" si="18"/>
        <v>22187.5</v>
      </c>
      <c r="N50" s="64">
        <f t="shared" si="18"/>
        <v>22542.5</v>
      </c>
      <c r="O50" s="64">
        <f t="shared" si="18"/>
        <v>22897.5</v>
      </c>
      <c r="P50" s="64">
        <f t="shared" si="18"/>
        <v>23252.5</v>
      </c>
      <c r="Q50" s="64">
        <f t="shared" si="18"/>
        <v>23607.5</v>
      </c>
      <c r="R50" s="64">
        <f t="shared" si="18"/>
        <v>23962.5</v>
      </c>
      <c r="S50" s="64">
        <f t="shared" si="18"/>
        <v>24317.5</v>
      </c>
      <c r="T50" s="64">
        <f t="shared" si="18"/>
        <v>24672.5</v>
      </c>
    </row>
    <row r="51" spans="1:20" s="43" customFormat="1" ht="12.75">
      <c r="A51" s="3"/>
      <c r="B51" s="4"/>
      <c r="C51" s="4" t="s">
        <v>37</v>
      </c>
      <c r="D51" s="8"/>
      <c r="E51" s="65">
        <f>SUM(E48:E50)</f>
        <v>75900</v>
      </c>
      <c r="F51" s="65">
        <f aca="true" t="shared" si="19" ref="F51:T51">SUM(F48:F50)</f>
        <v>77900</v>
      </c>
      <c r="G51" s="65">
        <f t="shared" si="19"/>
        <v>82400</v>
      </c>
      <c r="H51" s="65">
        <f t="shared" si="19"/>
        <v>90775</v>
      </c>
      <c r="I51" s="65">
        <f t="shared" si="19"/>
        <v>153161.25</v>
      </c>
      <c r="J51" s="65">
        <f t="shared" si="19"/>
        <v>174252.1875</v>
      </c>
      <c r="K51" s="65">
        <f t="shared" si="19"/>
        <v>199302.890625</v>
      </c>
      <c r="L51" s="65">
        <f t="shared" si="19"/>
        <v>227323.41796875</v>
      </c>
      <c r="M51" s="65">
        <f t="shared" si="19"/>
        <v>259471.3134765625</v>
      </c>
      <c r="N51" s="65">
        <f t="shared" si="19"/>
        <v>304014.7351074219</v>
      </c>
      <c r="O51" s="65">
        <f t="shared" si="19"/>
        <v>361954.8013305664</v>
      </c>
      <c r="P51" s="65">
        <f t="shared" si="19"/>
        <v>429942.3509979248</v>
      </c>
      <c r="Q51" s="65">
        <f t="shared" si="19"/>
        <v>482465.5132484436</v>
      </c>
      <c r="R51" s="65">
        <f t="shared" si="19"/>
        <v>541390.3849363327</v>
      </c>
      <c r="S51" s="65">
        <f t="shared" si="19"/>
        <v>601116.5387022495</v>
      </c>
      <c r="T51" s="65">
        <f t="shared" si="19"/>
        <v>669443.6540266871</v>
      </c>
    </row>
    <row r="53" spans="1:20" s="34" customFormat="1" ht="12.75">
      <c r="A53" s="3"/>
      <c r="B53" s="3" t="s">
        <v>85</v>
      </c>
      <c r="C53" s="4"/>
      <c r="D53" s="61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1:20" s="34" customFormat="1" ht="12.75">
      <c r="A54" s="3"/>
      <c r="B54" s="4"/>
      <c r="C54" s="4" t="s">
        <v>17</v>
      </c>
      <c r="D54" s="61"/>
      <c r="E54" s="67">
        <f>E36</f>
        <v>84000</v>
      </c>
      <c r="F54" s="67">
        <f aca="true" t="shared" si="20" ref="F54:T54">F36</f>
        <v>114000</v>
      </c>
      <c r="G54" s="67">
        <f t="shared" si="20"/>
        <v>146500</v>
      </c>
      <c r="H54" s="67">
        <f t="shared" si="20"/>
        <v>253562.5</v>
      </c>
      <c r="I54" s="67">
        <f t="shared" si="20"/>
        <v>492575</v>
      </c>
      <c r="J54" s="67">
        <f t="shared" si="20"/>
        <v>698537.5</v>
      </c>
      <c r="K54" s="67">
        <f t="shared" si="20"/>
        <v>828800</v>
      </c>
      <c r="L54" s="67">
        <f t="shared" si="20"/>
        <v>989375</v>
      </c>
      <c r="M54" s="67">
        <f t="shared" si="20"/>
        <v>1514062.5</v>
      </c>
      <c r="N54" s="67">
        <f t="shared" si="20"/>
        <v>2013387.5</v>
      </c>
      <c r="O54" s="67">
        <f t="shared" si="20"/>
        <v>2613062.5</v>
      </c>
      <c r="P54" s="67">
        <f t="shared" si="20"/>
        <v>3225587.5</v>
      </c>
      <c r="Q54" s="67">
        <f t="shared" si="20"/>
        <v>3676487.5</v>
      </c>
      <c r="R54" s="67">
        <f t="shared" si="20"/>
        <v>4013375</v>
      </c>
      <c r="S54" s="67">
        <f t="shared" si="20"/>
        <v>4052212.5</v>
      </c>
      <c r="T54" s="67">
        <f t="shared" si="20"/>
        <v>4474325</v>
      </c>
    </row>
    <row r="55" spans="1:20" s="34" customFormat="1" ht="12.75">
      <c r="A55" s="3"/>
      <c r="B55" s="4"/>
      <c r="C55" s="4" t="s">
        <v>29</v>
      </c>
      <c r="D55" s="61"/>
      <c r="E55" s="67">
        <f>E51</f>
        <v>75900</v>
      </c>
      <c r="F55" s="67">
        <f aca="true" t="shared" si="21" ref="F55:T55">F51</f>
        <v>77900</v>
      </c>
      <c r="G55" s="67">
        <f t="shared" si="21"/>
        <v>82400</v>
      </c>
      <c r="H55" s="67">
        <f t="shared" si="21"/>
        <v>90775</v>
      </c>
      <c r="I55" s="67">
        <f t="shared" si="21"/>
        <v>153161.25</v>
      </c>
      <c r="J55" s="67">
        <f t="shared" si="21"/>
        <v>174252.1875</v>
      </c>
      <c r="K55" s="67">
        <f t="shared" si="21"/>
        <v>199302.890625</v>
      </c>
      <c r="L55" s="67">
        <f t="shared" si="21"/>
        <v>227323.41796875</v>
      </c>
      <c r="M55" s="67">
        <f t="shared" si="21"/>
        <v>259471.3134765625</v>
      </c>
      <c r="N55" s="67">
        <f t="shared" si="21"/>
        <v>304014.7351074219</v>
      </c>
      <c r="O55" s="67">
        <f t="shared" si="21"/>
        <v>361954.8013305664</v>
      </c>
      <c r="P55" s="67">
        <f t="shared" si="21"/>
        <v>429942.3509979248</v>
      </c>
      <c r="Q55" s="67">
        <f t="shared" si="21"/>
        <v>482465.5132484436</v>
      </c>
      <c r="R55" s="67">
        <f t="shared" si="21"/>
        <v>541390.3849363327</v>
      </c>
      <c r="S55" s="67">
        <f t="shared" si="21"/>
        <v>601116.5387022495</v>
      </c>
      <c r="T55" s="67">
        <f t="shared" si="21"/>
        <v>669443.6540266871</v>
      </c>
    </row>
    <row r="56" spans="1:20" s="60" customFormat="1" ht="12.75">
      <c r="A56" s="3"/>
      <c r="B56" s="4"/>
      <c r="C56" s="6" t="s">
        <v>56</v>
      </c>
      <c r="D56" s="68"/>
      <c r="E56" s="69">
        <f>SUM(E54:E55)</f>
        <v>159900</v>
      </c>
      <c r="F56" s="69">
        <f aca="true" t="shared" si="22" ref="F56:T56">SUM(F54:F55)</f>
        <v>191900</v>
      </c>
      <c r="G56" s="69">
        <f t="shared" si="22"/>
        <v>228900</v>
      </c>
      <c r="H56" s="69">
        <f t="shared" si="22"/>
        <v>344337.5</v>
      </c>
      <c r="I56" s="69">
        <f t="shared" si="22"/>
        <v>645736.25</v>
      </c>
      <c r="J56" s="69">
        <f t="shared" si="22"/>
        <v>872789.6875</v>
      </c>
      <c r="K56" s="69">
        <f t="shared" si="22"/>
        <v>1028102.890625</v>
      </c>
      <c r="L56" s="69">
        <f t="shared" si="22"/>
        <v>1216698.41796875</v>
      </c>
      <c r="M56" s="69">
        <f t="shared" si="22"/>
        <v>1773533.8134765625</v>
      </c>
      <c r="N56" s="69">
        <f t="shared" si="22"/>
        <v>2317402.235107422</v>
      </c>
      <c r="O56" s="69">
        <f t="shared" si="22"/>
        <v>2975017.3013305664</v>
      </c>
      <c r="P56" s="69">
        <f t="shared" si="22"/>
        <v>3655529.850997925</v>
      </c>
      <c r="Q56" s="69">
        <f t="shared" si="22"/>
        <v>4158953.0132484436</v>
      </c>
      <c r="R56" s="69">
        <f t="shared" si="22"/>
        <v>4554765.384936333</v>
      </c>
      <c r="S56" s="69">
        <f t="shared" si="22"/>
        <v>4653329.0387022495</v>
      </c>
      <c r="T56" s="69">
        <f t="shared" si="22"/>
        <v>5143768.654026687</v>
      </c>
    </row>
  </sheetData>
  <sheetProtection/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zoomScale="150" zoomScaleNormal="150" zoomScalePageLayoutView="0" workbookViewId="0" topLeftCell="A1">
      <pane xSplit="3" ySplit="3" topLeftCell="Q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1" sqref="V1:AG19"/>
    </sheetView>
  </sheetViews>
  <sheetFormatPr defaultColWidth="8.8515625" defaultRowHeight="15" customHeight="1"/>
  <cols>
    <col min="1" max="1" width="2.57421875" style="3" customWidth="1"/>
    <col min="2" max="2" width="12.57421875" style="4" bestFit="1" customWidth="1"/>
    <col min="3" max="3" width="8.8515625" style="4" bestFit="1" customWidth="1"/>
    <col min="4" max="4" width="2.421875" style="4" customWidth="1"/>
    <col min="5" max="17" width="5.140625" style="27" bestFit="1" customWidth="1"/>
    <col min="18" max="20" width="5.140625" style="5" bestFit="1" customWidth="1"/>
    <col min="21" max="21" width="5.140625" style="15" customWidth="1"/>
    <col min="22" max="22" width="2.57421875" style="3" customWidth="1"/>
    <col min="23" max="23" width="12.57421875" style="4" customWidth="1"/>
    <col min="24" max="24" width="9.421875" style="5" bestFit="1" customWidth="1"/>
    <col min="25" max="25" width="12.140625" style="5" bestFit="1" customWidth="1"/>
    <col min="26" max="33" width="9.421875" style="5" bestFit="1" customWidth="1"/>
    <col min="34" max="41" width="10.8515625" style="5" bestFit="1" customWidth="1"/>
    <col min="42" max="16384" width="8.8515625" style="5" customWidth="1"/>
  </cols>
  <sheetData>
    <row r="1" spans="1:41" ht="15" customHeight="1">
      <c r="A1" s="3" t="s">
        <v>91</v>
      </c>
      <c r="E1" s="6" t="s">
        <v>150</v>
      </c>
      <c r="F1" s="6" t="s">
        <v>150</v>
      </c>
      <c r="G1" s="6" t="s">
        <v>150</v>
      </c>
      <c r="H1" s="6" t="s">
        <v>150</v>
      </c>
      <c r="I1" s="6" t="s">
        <v>150</v>
      </c>
      <c r="J1" s="6" t="s">
        <v>150</v>
      </c>
      <c r="K1" s="6" t="s">
        <v>150</v>
      </c>
      <c r="L1" s="6" t="s">
        <v>150</v>
      </c>
      <c r="M1" s="6" t="s">
        <v>150</v>
      </c>
      <c r="N1" s="6" t="s">
        <v>150</v>
      </c>
      <c r="O1" s="6" t="s">
        <v>150</v>
      </c>
      <c r="P1" s="6" t="s">
        <v>150</v>
      </c>
      <c r="Q1" s="6" t="s">
        <v>150</v>
      </c>
      <c r="R1" s="6" t="s">
        <v>150</v>
      </c>
      <c r="S1" s="6" t="s">
        <v>150</v>
      </c>
      <c r="T1" s="6" t="s">
        <v>150</v>
      </c>
      <c r="V1" s="3" t="s">
        <v>91</v>
      </c>
      <c r="X1" s="4"/>
      <c r="Y1" s="25"/>
      <c r="Z1" s="6" t="s">
        <v>98</v>
      </c>
      <c r="AA1" s="6" t="s">
        <v>98</v>
      </c>
      <c r="AB1" s="6" t="s">
        <v>98</v>
      </c>
      <c r="AC1" s="6" t="s">
        <v>98</v>
      </c>
      <c r="AD1" s="6" t="s">
        <v>98</v>
      </c>
      <c r="AE1" s="6" t="s">
        <v>98</v>
      </c>
      <c r="AF1" s="6" t="s">
        <v>98</v>
      </c>
      <c r="AG1" s="6" t="s">
        <v>98</v>
      </c>
      <c r="AH1" s="6" t="s">
        <v>98</v>
      </c>
      <c r="AI1" s="6" t="s">
        <v>98</v>
      </c>
      <c r="AJ1" s="6" t="s">
        <v>98</v>
      </c>
      <c r="AK1" s="6" t="s">
        <v>98</v>
      </c>
      <c r="AL1" s="6" t="s">
        <v>98</v>
      </c>
      <c r="AM1" s="6" t="s">
        <v>98</v>
      </c>
      <c r="AN1" s="6" t="s">
        <v>98</v>
      </c>
      <c r="AO1" s="6" t="s">
        <v>98</v>
      </c>
    </row>
    <row r="2" spans="5:41" s="6" customFormat="1" ht="15" customHeight="1">
      <c r="E2" s="6" t="s">
        <v>119</v>
      </c>
      <c r="F2" s="6" t="s">
        <v>120</v>
      </c>
      <c r="G2" s="6" t="s">
        <v>121</v>
      </c>
      <c r="H2" s="6" t="s">
        <v>122</v>
      </c>
      <c r="I2" s="6" t="s">
        <v>119</v>
      </c>
      <c r="J2" s="6" t="s">
        <v>120</v>
      </c>
      <c r="K2" s="6" t="s">
        <v>121</v>
      </c>
      <c r="L2" s="6" t="s">
        <v>122</v>
      </c>
      <c r="M2" s="6" t="s">
        <v>119</v>
      </c>
      <c r="N2" s="6" t="s">
        <v>120</v>
      </c>
      <c r="O2" s="6" t="s">
        <v>121</v>
      </c>
      <c r="P2" s="6" t="s">
        <v>122</v>
      </c>
      <c r="Q2" s="6" t="s">
        <v>119</v>
      </c>
      <c r="R2" s="6" t="s">
        <v>120</v>
      </c>
      <c r="S2" s="6" t="s">
        <v>121</v>
      </c>
      <c r="T2" s="6" t="s">
        <v>122</v>
      </c>
      <c r="X2" s="25" t="s">
        <v>99</v>
      </c>
      <c r="Z2" s="6" t="s">
        <v>119</v>
      </c>
      <c r="AA2" s="6" t="s">
        <v>120</v>
      </c>
      <c r="AB2" s="6" t="s">
        <v>121</v>
      </c>
      <c r="AC2" s="6" t="s">
        <v>122</v>
      </c>
      <c r="AD2" s="6" t="s">
        <v>119</v>
      </c>
      <c r="AE2" s="6" t="s">
        <v>120</v>
      </c>
      <c r="AF2" s="6" t="s">
        <v>121</v>
      </c>
      <c r="AG2" s="6" t="s">
        <v>122</v>
      </c>
      <c r="AH2" s="6" t="s">
        <v>119</v>
      </c>
      <c r="AI2" s="6" t="s">
        <v>120</v>
      </c>
      <c r="AJ2" s="6" t="s">
        <v>121</v>
      </c>
      <c r="AK2" s="6" t="s">
        <v>122</v>
      </c>
      <c r="AL2" s="6" t="s">
        <v>119</v>
      </c>
      <c r="AM2" s="6" t="s">
        <v>120</v>
      </c>
      <c r="AN2" s="6" t="s">
        <v>121</v>
      </c>
      <c r="AO2" s="6" t="s">
        <v>122</v>
      </c>
    </row>
    <row r="3" spans="5:41" s="6" customFormat="1" ht="15" customHeight="1">
      <c r="E3" s="6" t="s">
        <v>79</v>
      </c>
      <c r="F3" s="6" t="s">
        <v>79</v>
      </c>
      <c r="G3" s="6" t="s">
        <v>79</v>
      </c>
      <c r="H3" s="6" t="s">
        <v>79</v>
      </c>
      <c r="I3" s="6" t="s">
        <v>86</v>
      </c>
      <c r="J3" s="6" t="s">
        <v>86</v>
      </c>
      <c r="K3" s="6" t="s">
        <v>86</v>
      </c>
      <c r="L3" s="6" t="s">
        <v>86</v>
      </c>
      <c r="M3" s="6" t="s">
        <v>87</v>
      </c>
      <c r="N3" s="6" t="s">
        <v>87</v>
      </c>
      <c r="O3" s="6" t="s">
        <v>87</v>
      </c>
      <c r="P3" s="6" t="s">
        <v>87</v>
      </c>
      <c r="Q3" s="6" t="s">
        <v>88</v>
      </c>
      <c r="R3" s="6" t="s">
        <v>88</v>
      </c>
      <c r="S3" s="6" t="s">
        <v>88</v>
      </c>
      <c r="T3" s="6" t="s">
        <v>88</v>
      </c>
      <c r="X3" s="25" t="s">
        <v>100</v>
      </c>
      <c r="Z3" s="6" t="s">
        <v>79</v>
      </c>
      <c r="AA3" s="6" t="s">
        <v>79</v>
      </c>
      <c r="AB3" s="6" t="s">
        <v>79</v>
      </c>
      <c r="AC3" s="6" t="s">
        <v>79</v>
      </c>
      <c r="AD3" s="6" t="s">
        <v>86</v>
      </c>
      <c r="AE3" s="6" t="s">
        <v>86</v>
      </c>
      <c r="AF3" s="6" t="s">
        <v>86</v>
      </c>
      <c r="AG3" s="6" t="s">
        <v>86</v>
      </c>
      <c r="AH3" s="6" t="s">
        <v>87</v>
      </c>
      <c r="AI3" s="6" t="s">
        <v>87</v>
      </c>
      <c r="AJ3" s="6" t="s">
        <v>87</v>
      </c>
      <c r="AK3" s="6" t="s">
        <v>87</v>
      </c>
      <c r="AL3" s="6" t="s">
        <v>88</v>
      </c>
      <c r="AM3" s="6" t="s">
        <v>88</v>
      </c>
      <c r="AN3" s="6" t="s">
        <v>88</v>
      </c>
      <c r="AO3" s="6" t="s">
        <v>88</v>
      </c>
    </row>
    <row r="4" spans="24:41" s="6" customFormat="1" ht="15" customHeight="1">
      <c r="X4" s="4"/>
      <c r="Y4" s="6" t="s">
        <v>101</v>
      </c>
      <c r="Z4" s="26">
        <v>1.15</v>
      </c>
      <c r="AA4" s="26">
        <v>1.15</v>
      </c>
      <c r="AB4" s="26">
        <v>1.15</v>
      </c>
      <c r="AC4" s="26">
        <v>1.15</v>
      </c>
      <c r="AD4" s="26">
        <f aca="true" t="shared" si="0" ref="AD4:AO4">AC4+0.02</f>
        <v>1.17</v>
      </c>
      <c r="AE4" s="26">
        <f t="shared" si="0"/>
        <v>1.19</v>
      </c>
      <c r="AF4" s="26">
        <f t="shared" si="0"/>
        <v>1.21</v>
      </c>
      <c r="AG4" s="26">
        <f t="shared" si="0"/>
        <v>1.23</v>
      </c>
      <c r="AH4" s="26">
        <f t="shared" si="0"/>
        <v>1.25</v>
      </c>
      <c r="AI4" s="26">
        <f t="shared" si="0"/>
        <v>1.27</v>
      </c>
      <c r="AJ4" s="26">
        <f t="shared" si="0"/>
        <v>1.29</v>
      </c>
      <c r="AK4" s="26">
        <f t="shared" si="0"/>
        <v>1.31</v>
      </c>
      <c r="AL4" s="26">
        <f t="shared" si="0"/>
        <v>1.33</v>
      </c>
      <c r="AM4" s="26">
        <f t="shared" si="0"/>
        <v>1.35</v>
      </c>
      <c r="AN4" s="26">
        <f t="shared" si="0"/>
        <v>1.37</v>
      </c>
      <c r="AO4" s="26">
        <f t="shared" si="0"/>
        <v>1.3900000000000001</v>
      </c>
    </row>
    <row r="5" spans="1:24" ht="15" customHeight="1">
      <c r="A5" s="3" t="s">
        <v>57</v>
      </c>
      <c r="V5" s="3" t="s">
        <v>57</v>
      </c>
      <c r="X5" s="15"/>
    </row>
    <row r="6" spans="1:41" s="34" customFormat="1" ht="15" customHeight="1">
      <c r="A6" s="3"/>
      <c r="B6" s="4" t="s">
        <v>58</v>
      </c>
      <c r="C6" s="28" t="s">
        <v>84</v>
      </c>
      <c r="D6" s="28"/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30"/>
      <c r="V6" s="3"/>
      <c r="W6" s="4" t="s">
        <v>58</v>
      </c>
      <c r="X6" s="31">
        <v>175000</v>
      </c>
      <c r="Y6" s="32"/>
      <c r="Z6" s="33">
        <f aca="true" t="shared" si="1" ref="Z6:AM11">E6*($X6/4)*Z$4</f>
        <v>50312.49999999999</v>
      </c>
      <c r="AA6" s="33">
        <f t="shared" si="1"/>
        <v>50312.49999999999</v>
      </c>
      <c r="AB6" s="33">
        <f t="shared" si="1"/>
        <v>50312.49999999999</v>
      </c>
      <c r="AC6" s="33">
        <f t="shared" si="1"/>
        <v>50312.49999999999</v>
      </c>
      <c r="AD6" s="33">
        <f t="shared" si="1"/>
        <v>51187.5</v>
      </c>
      <c r="AE6" s="33">
        <f t="shared" si="1"/>
        <v>52062.5</v>
      </c>
      <c r="AF6" s="33">
        <f t="shared" si="1"/>
        <v>52937.5</v>
      </c>
      <c r="AG6" s="33">
        <f t="shared" si="1"/>
        <v>53812.5</v>
      </c>
      <c r="AH6" s="33">
        <f t="shared" si="1"/>
        <v>54687.5</v>
      </c>
      <c r="AI6" s="33">
        <f t="shared" si="1"/>
        <v>55562.5</v>
      </c>
      <c r="AJ6" s="33">
        <f t="shared" si="1"/>
        <v>56437.5</v>
      </c>
      <c r="AK6" s="33">
        <f t="shared" si="1"/>
        <v>57312.5</v>
      </c>
      <c r="AL6" s="33">
        <f t="shared" si="1"/>
        <v>58187.5</v>
      </c>
      <c r="AM6" s="33">
        <f t="shared" si="1"/>
        <v>59062.50000000001</v>
      </c>
      <c r="AN6" s="33">
        <f aca="true" t="shared" si="2" ref="AN6:AN11">S6*($X6/4)*AN$4</f>
        <v>59937.50000000001</v>
      </c>
      <c r="AO6" s="33">
        <f aca="true" t="shared" si="3" ref="AO6:AO11">T6*($X6/4)*AO$4</f>
        <v>60812.50000000001</v>
      </c>
    </row>
    <row r="7" spans="1:41" s="34" customFormat="1" ht="15" customHeight="1">
      <c r="A7" s="3"/>
      <c r="B7" s="4" t="s">
        <v>0</v>
      </c>
      <c r="C7" s="28" t="s">
        <v>84</v>
      </c>
      <c r="D7" s="28"/>
      <c r="E7" s="29"/>
      <c r="F7" s="29"/>
      <c r="G7" s="29"/>
      <c r="H7" s="29"/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30"/>
      <c r="V7" s="3"/>
      <c r="W7" s="4" t="s">
        <v>0</v>
      </c>
      <c r="X7" s="31">
        <v>150000</v>
      </c>
      <c r="Y7" s="32"/>
      <c r="Z7" s="33">
        <f t="shared" si="1"/>
        <v>0</v>
      </c>
      <c r="AA7" s="33">
        <f t="shared" si="1"/>
        <v>0</v>
      </c>
      <c r="AB7" s="33">
        <f t="shared" si="1"/>
        <v>0</v>
      </c>
      <c r="AC7" s="33">
        <f t="shared" si="1"/>
        <v>0</v>
      </c>
      <c r="AD7" s="33">
        <f t="shared" si="1"/>
        <v>43875</v>
      </c>
      <c r="AE7" s="33">
        <f t="shared" si="1"/>
        <v>44625</v>
      </c>
      <c r="AF7" s="33">
        <f t="shared" si="1"/>
        <v>45375</v>
      </c>
      <c r="AG7" s="33">
        <f t="shared" si="1"/>
        <v>46125</v>
      </c>
      <c r="AH7" s="33">
        <f t="shared" si="1"/>
        <v>46875</v>
      </c>
      <c r="AI7" s="33">
        <f t="shared" si="1"/>
        <v>47625</v>
      </c>
      <c r="AJ7" s="33">
        <f t="shared" si="1"/>
        <v>48375</v>
      </c>
      <c r="AK7" s="33">
        <f t="shared" si="1"/>
        <v>49125</v>
      </c>
      <c r="AL7" s="33">
        <f t="shared" si="1"/>
        <v>49875</v>
      </c>
      <c r="AM7" s="33">
        <f t="shared" si="1"/>
        <v>50625</v>
      </c>
      <c r="AN7" s="33">
        <f t="shared" si="2"/>
        <v>51375.00000000001</v>
      </c>
      <c r="AO7" s="33">
        <f t="shared" si="3"/>
        <v>52125.00000000001</v>
      </c>
    </row>
    <row r="8" spans="1:41" s="34" customFormat="1" ht="15" customHeight="1">
      <c r="A8" s="3"/>
      <c r="B8" s="4" t="s">
        <v>1</v>
      </c>
      <c r="C8" s="28" t="s">
        <v>84</v>
      </c>
      <c r="D8" s="28"/>
      <c r="E8" s="29">
        <f aca="true" t="shared" si="4" ref="E8:L8">MAX(1,(1+INT(E9/8)))</f>
        <v>1</v>
      </c>
      <c r="F8" s="29">
        <f t="shared" si="4"/>
        <v>2</v>
      </c>
      <c r="G8" s="29">
        <f t="shared" si="4"/>
        <v>2</v>
      </c>
      <c r="H8" s="29">
        <f t="shared" si="4"/>
        <v>2</v>
      </c>
      <c r="I8" s="29">
        <f t="shared" si="4"/>
        <v>2</v>
      </c>
      <c r="J8" s="29">
        <f t="shared" si="4"/>
        <v>3</v>
      </c>
      <c r="K8" s="29">
        <f t="shared" si="4"/>
        <v>3</v>
      </c>
      <c r="L8" s="29">
        <f t="shared" si="4"/>
        <v>3</v>
      </c>
      <c r="M8" s="29">
        <f aca="true" t="shared" si="5" ref="M8:T8">MAX(1,(1+INT(M9/8)))</f>
        <v>4</v>
      </c>
      <c r="N8" s="29">
        <f t="shared" si="5"/>
        <v>4</v>
      </c>
      <c r="O8" s="29">
        <f t="shared" si="5"/>
        <v>5</v>
      </c>
      <c r="P8" s="29">
        <f t="shared" si="5"/>
        <v>5</v>
      </c>
      <c r="Q8" s="29">
        <f t="shared" si="5"/>
        <v>6</v>
      </c>
      <c r="R8" s="29">
        <f t="shared" si="5"/>
        <v>6</v>
      </c>
      <c r="S8" s="29">
        <f t="shared" si="5"/>
        <v>7</v>
      </c>
      <c r="T8" s="29">
        <f t="shared" si="5"/>
        <v>8</v>
      </c>
      <c r="U8" s="30"/>
      <c r="V8" s="3"/>
      <c r="W8" s="4" t="s">
        <v>1</v>
      </c>
      <c r="X8" s="31">
        <v>125000</v>
      </c>
      <c r="Y8" s="32"/>
      <c r="Z8" s="33">
        <f t="shared" si="1"/>
        <v>35937.5</v>
      </c>
      <c r="AA8" s="33">
        <f t="shared" si="1"/>
        <v>71875</v>
      </c>
      <c r="AB8" s="33">
        <f t="shared" si="1"/>
        <v>71875</v>
      </c>
      <c r="AC8" s="33">
        <f t="shared" si="1"/>
        <v>71875</v>
      </c>
      <c r="AD8" s="33">
        <f t="shared" si="1"/>
        <v>73125</v>
      </c>
      <c r="AE8" s="33">
        <f t="shared" si="1"/>
        <v>111562.5</v>
      </c>
      <c r="AF8" s="33">
        <f t="shared" si="1"/>
        <v>113437.5</v>
      </c>
      <c r="AG8" s="33">
        <f t="shared" si="1"/>
        <v>115312.5</v>
      </c>
      <c r="AH8" s="33">
        <f t="shared" si="1"/>
        <v>156250</v>
      </c>
      <c r="AI8" s="33">
        <f t="shared" si="1"/>
        <v>158750</v>
      </c>
      <c r="AJ8" s="33">
        <f t="shared" si="1"/>
        <v>201562.5</v>
      </c>
      <c r="AK8" s="33">
        <f t="shared" si="1"/>
        <v>204687.5</v>
      </c>
      <c r="AL8" s="33">
        <f t="shared" si="1"/>
        <v>249375</v>
      </c>
      <c r="AM8" s="33">
        <f t="shared" si="1"/>
        <v>253125.00000000003</v>
      </c>
      <c r="AN8" s="33">
        <f t="shared" si="2"/>
        <v>299687.5</v>
      </c>
      <c r="AO8" s="33">
        <f t="shared" si="3"/>
        <v>347500.00000000006</v>
      </c>
    </row>
    <row r="9" spans="1:41" s="34" customFormat="1" ht="15" customHeight="1">
      <c r="A9" s="3"/>
      <c r="B9" s="4" t="s">
        <v>60</v>
      </c>
      <c r="C9" s="28" t="s">
        <v>84</v>
      </c>
      <c r="D9" s="28"/>
      <c r="E9" s="29">
        <v>4</v>
      </c>
      <c r="F9" s="29">
        <v>8</v>
      </c>
      <c r="G9" s="29">
        <v>10</v>
      </c>
      <c r="H9" s="29">
        <v>12</v>
      </c>
      <c r="I9" s="29">
        <v>14</v>
      </c>
      <c r="J9" s="29">
        <v>16</v>
      </c>
      <c r="K9" s="29">
        <v>18</v>
      </c>
      <c r="L9" s="29">
        <v>22</v>
      </c>
      <c r="M9" s="29">
        <v>26</v>
      </c>
      <c r="N9" s="29">
        <v>30</v>
      </c>
      <c r="O9" s="29">
        <v>34</v>
      </c>
      <c r="P9" s="29">
        <v>38</v>
      </c>
      <c r="Q9" s="29">
        <v>42</v>
      </c>
      <c r="R9" s="29">
        <v>46</v>
      </c>
      <c r="S9" s="29">
        <v>50</v>
      </c>
      <c r="T9" s="29">
        <v>56</v>
      </c>
      <c r="U9" s="30"/>
      <c r="V9" s="3"/>
      <c r="W9" s="4" t="s">
        <v>60</v>
      </c>
      <c r="X9" s="31">
        <v>85000</v>
      </c>
      <c r="Y9" s="32"/>
      <c r="Z9" s="33">
        <f t="shared" si="1"/>
        <v>97749.99999999999</v>
      </c>
      <c r="AA9" s="33">
        <f t="shared" si="1"/>
        <v>195499.99999999997</v>
      </c>
      <c r="AB9" s="33">
        <f t="shared" si="1"/>
        <v>244374.99999999997</v>
      </c>
      <c r="AC9" s="33">
        <f t="shared" si="1"/>
        <v>293250</v>
      </c>
      <c r="AD9" s="33">
        <f t="shared" si="1"/>
        <v>348075</v>
      </c>
      <c r="AE9" s="33">
        <f t="shared" si="1"/>
        <v>404600</v>
      </c>
      <c r="AF9" s="33">
        <f t="shared" si="1"/>
        <v>462825</v>
      </c>
      <c r="AG9" s="33">
        <f t="shared" si="1"/>
        <v>575025</v>
      </c>
      <c r="AH9" s="33">
        <f t="shared" si="1"/>
        <v>690625</v>
      </c>
      <c r="AI9" s="33">
        <f t="shared" si="1"/>
        <v>809625</v>
      </c>
      <c r="AJ9" s="33">
        <f t="shared" si="1"/>
        <v>932025</v>
      </c>
      <c r="AK9" s="33">
        <f t="shared" si="1"/>
        <v>1057825</v>
      </c>
      <c r="AL9" s="33">
        <f t="shared" si="1"/>
        <v>1187025</v>
      </c>
      <c r="AM9" s="33">
        <f t="shared" si="1"/>
        <v>1319625</v>
      </c>
      <c r="AN9" s="33">
        <f t="shared" si="2"/>
        <v>1455625</v>
      </c>
      <c r="AO9" s="33">
        <f t="shared" si="3"/>
        <v>1654100.0000000002</v>
      </c>
    </row>
    <row r="10" spans="1:41" s="34" customFormat="1" ht="15" customHeight="1">
      <c r="A10" s="3"/>
      <c r="B10" s="4" t="s">
        <v>61</v>
      </c>
      <c r="C10" s="28" t="s">
        <v>84</v>
      </c>
      <c r="D10" s="28"/>
      <c r="E10" s="29">
        <v>0</v>
      </c>
      <c r="F10" s="29">
        <v>1</v>
      </c>
      <c r="G10" s="29">
        <v>1</v>
      </c>
      <c r="H10" s="29">
        <v>2</v>
      </c>
      <c r="I10" s="29">
        <v>2</v>
      </c>
      <c r="J10" s="29">
        <v>4</v>
      </c>
      <c r="K10" s="29">
        <v>4</v>
      </c>
      <c r="L10" s="29">
        <v>4</v>
      </c>
      <c r="M10" s="29">
        <v>5</v>
      </c>
      <c r="N10" s="29">
        <v>5</v>
      </c>
      <c r="O10" s="29">
        <v>5</v>
      </c>
      <c r="P10" s="29">
        <v>5</v>
      </c>
      <c r="Q10" s="29">
        <v>6</v>
      </c>
      <c r="R10" s="29">
        <v>6</v>
      </c>
      <c r="S10" s="29">
        <v>6</v>
      </c>
      <c r="T10" s="29">
        <v>6</v>
      </c>
      <c r="U10" s="30"/>
      <c r="V10" s="3"/>
      <c r="W10" s="4" t="s">
        <v>61</v>
      </c>
      <c r="X10" s="31">
        <v>60000</v>
      </c>
      <c r="Y10" s="32"/>
      <c r="Z10" s="33">
        <f t="shared" si="1"/>
        <v>0</v>
      </c>
      <c r="AA10" s="33">
        <f t="shared" si="1"/>
        <v>17250</v>
      </c>
      <c r="AB10" s="33">
        <f t="shared" si="1"/>
        <v>17250</v>
      </c>
      <c r="AC10" s="33">
        <f t="shared" si="1"/>
        <v>34500</v>
      </c>
      <c r="AD10" s="33">
        <f t="shared" si="1"/>
        <v>35100</v>
      </c>
      <c r="AE10" s="33">
        <f t="shared" si="1"/>
        <v>71400</v>
      </c>
      <c r="AF10" s="33">
        <f t="shared" si="1"/>
        <v>72600</v>
      </c>
      <c r="AG10" s="33">
        <f t="shared" si="1"/>
        <v>73800</v>
      </c>
      <c r="AH10" s="33">
        <f t="shared" si="1"/>
        <v>93750</v>
      </c>
      <c r="AI10" s="33">
        <f t="shared" si="1"/>
        <v>95250</v>
      </c>
      <c r="AJ10" s="33">
        <f t="shared" si="1"/>
        <v>96750</v>
      </c>
      <c r="AK10" s="33">
        <f t="shared" si="1"/>
        <v>98250</v>
      </c>
      <c r="AL10" s="33">
        <f t="shared" si="1"/>
        <v>119700</v>
      </c>
      <c r="AM10" s="33">
        <f t="shared" si="1"/>
        <v>121500.00000000001</v>
      </c>
      <c r="AN10" s="33">
        <f t="shared" si="2"/>
        <v>123300.00000000001</v>
      </c>
      <c r="AO10" s="33">
        <f t="shared" si="3"/>
        <v>125100.00000000001</v>
      </c>
    </row>
    <row r="11" spans="1:41" s="34" customFormat="1" ht="15" customHeight="1">
      <c r="A11" s="3"/>
      <c r="B11" s="4" t="s">
        <v>89</v>
      </c>
      <c r="C11" s="28" t="s">
        <v>84</v>
      </c>
      <c r="D11" s="28"/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0"/>
      <c r="V11" s="3"/>
      <c r="W11" s="4" t="s">
        <v>89</v>
      </c>
      <c r="X11" s="31">
        <v>80000</v>
      </c>
      <c r="Y11" s="32"/>
      <c r="Z11" s="33">
        <f t="shared" si="1"/>
        <v>0</v>
      </c>
      <c r="AA11" s="33">
        <f t="shared" si="1"/>
        <v>0</v>
      </c>
      <c r="AB11" s="33">
        <f t="shared" si="1"/>
        <v>0</v>
      </c>
      <c r="AC11" s="33">
        <f t="shared" si="1"/>
        <v>0</v>
      </c>
      <c r="AD11" s="33">
        <f t="shared" si="1"/>
        <v>0</v>
      </c>
      <c r="AE11" s="33">
        <f t="shared" si="1"/>
        <v>0</v>
      </c>
      <c r="AF11" s="33">
        <f t="shared" si="1"/>
        <v>0</v>
      </c>
      <c r="AG11" s="33">
        <f t="shared" si="1"/>
        <v>0</v>
      </c>
      <c r="AH11" s="33">
        <f t="shared" si="1"/>
        <v>0</v>
      </c>
      <c r="AI11" s="33">
        <f t="shared" si="1"/>
        <v>0</v>
      </c>
      <c r="AJ11" s="33">
        <f t="shared" si="1"/>
        <v>0</v>
      </c>
      <c r="AK11" s="33">
        <f t="shared" si="1"/>
        <v>0</v>
      </c>
      <c r="AL11" s="33">
        <f t="shared" si="1"/>
        <v>0</v>
      </c>
      <c r="AM11" s="33">
        <f t="shared" si="1"/>
        <v>0</v>
      </c>
      <c r="AN11" s="33">
        <f t="shared" si="2"/>
        <v>0</v>
      </c>
      <c r="AO11" s="33">
        <f t="shared" si="3"/>
        <v>0</v>
      </c>
    </row>
    <row r="12" spans="2:41" s="3" customFormat="1" ht="15" customHeight="1">
      <c r="B12" s="6" t="s">
        <v>62</v>
      </c>
      <c r="C12" s="6"/>
      <c r="D12" s="6"/>
      <c r="E12" s="36">
        <f aca="true" t="shared" si="6" ref="E12:T12">SUM(E6:E11)</f>
        <v>6</v>
      </c>
      <c r="F12" s="36">
        <f t="shared" si="6"/>
        <v>12</v>
      </c>
      <c r="G12" s="36">
        <f t="shared" si="6"/>
        <v>14</v>
      </c>
      <c r="H12" s="36">
        <f t="shared" si="6"/>
        <v>17</v>
      </c>
      <c r="I12" s="36">
        <f t="shared" si="6"/>
        <v>20</v>
      </c>
      <c r="J12" s="36">
        <f t="shared" si="6"/>
        <v>25</v>
      </c>
      <c r="K12" s="36">
        <f t="shared" si="6"/>
        <v>27</v>
      </c>
      <c r="L12" s="36">
        <f t="shared" si="6"/>
        <v>31</v>
      </c>
      <c r="M12" s="36">
        <f t="shared" si="6"/>
        <v>37</v>
      </c>
      <c r="N12" s="36">
        <f t="shared" si="6"/>
        <v>41</v>
      </c>
      <c r="O12" s="36">
        <f t="shared" si="6"/>
        <v>46</v>
      </c>
      <c r="P12" s="36">
        <f t="shared" si="6"/>
        <v>50</v>
      </c>
      <c r="Q12" s="36">
        <f t="shared" si="6"/>
        <v>56</v>
      </c>
      <c r="R12" s="36">
        <f t="shared" si="6"/>
        <v>60</v>
      </c>
      <c r="S12" s="36">
        <f t="shared" si="6"/>
        <v>65</v>
      </c>
      <c r="T12" s="36">
        <f t="shared" si="6"/>
        <v>72</v>
      </c>
      <c r="W12" s="6" t="s">
        <v>62</v>
      </c>
      <c r="X12" s="16"/>
      <c r="Y12" s="37" t="s">
        <v>102</v>
      </c>
      <c r="Z12" s="38">
        <f>SUM(Z6:Z11)</f>
        <v>184000</v>
      </c>
      <c r="AA12" s="38">
        <f aca="true" t="shared" si="7" ref="AA12:AO12">SUM(AA6:AA11)</f>
        <v>334937.5</v>
      </c>
      <c r="AB12" s="38">
        <f t="shared" si="7"/>
        <v>383812.5</v>
      </c>
      <c r="AC12" s="38">
        <f t="shared" si="7"/>
        <v>449937.5</v>
      </c>
      <c r="AD12" s="38">
        <f t="shared" si="7"/>
        <v>551362.5</v>
      </c>
      <c r="AE12" s="38">
        <f t="shared" si="7"/>
        <v>684250</v>
      </c>
      <c r="AF12" s="38">
        <f t="shared" si="7"/>
        <v>747175</v>
      </c>
      <c r="AG12" s="38">
        <f t="shared" si="7"/>
        <v>864075</v>
      </c>
      <c r="AH12" s="38">
        <f t="shared" si="7"/>
        <v>1042187.5</v>
      </c>
      <c r="AI12" s="38">
        <f t="shared" si="7"/>
        <v>1166812.5</v>
      </c>
      <c r="AJ12" s="38">
        <f t="shared" si="7"/>
        <v>1335150</v>
      </c>
      <c r="AK12" s="38">
        <f t="shared" si="7"/>
        <v>1467200</v>
      </c>
      <c r="AL12" s="38">
        <f t="shared" si="7"/>
        <v>1664162.5</v>
      </c>
      <c r="AM12" s="38">
        <f t="shared" si="7"/>
        <v>1803937.5</v>
      </c>
      <c r="AN12" s="38">
        <f t="shared" si="7"/>
        <v>1989925</v>
      </c>
      <c r="AO12" s="38">
        <f t="shared" si="7"/>
        <v>2239637.5000000005</v>
      </c>
    </row>
    <row r="13" spans="5:24" ht="15" customHeight="1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X13" s="15"/>
    </row>
    <row r="14" spans="1:24" ht="15" customHeight="1">
      <c r="A14" s="3" t="s">
        <v>63</v>
      </c>
      <c r="R14" s="27"/>
      <c r="S14" s="27"/>
      <c r="T14" s="27"/>
      <c r="V14" s="3" t="s">
        <v>63</v>
      </c>
      <c r="X14" s="15"/>
    </row>
    <row r="15" spans="1:41" s="34" customFormat="1" ht="15" customHeight="1">
      <c r="A15" s="3"/>
      <c r="B15" s="4" t="s">
        <v>64</v>
      </c>
      <c r="C15" s="28" t="s">
        <v>84</v>
      </c>
      <c r="D15" s="28"/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29">
        <v>1</v>
      </c>
      <c r="O15" s="29">
        <v>1</v>
      </c>
      <c r="P15" s="29">
        <v>1</v>
      </c>
      <c r="Q15" s="29">
        <v>1</v>
      </c>
      <c r="R15" s="29">
        <v>1</v>
      </c>
      <c r="S15" s="29">
        <v>1</v>
      </c>
      <c r="T15" s="29">
        <v>1</v>
      </c>
      <c r="U15" s="30"/>
      <c r="V15" s="3"/>
      <c r="W15" s="4" t="s">
        <v>64</v>
      </c>
      <c r="X15" s="31">
        <v>175000</v>
      </c>
      <c r="Y15" s="32"/>
      <c r="Z15" s="33">
        <f aca="true" t="shared" si="8" ref="Z15:AO18">E15*($X15/4)*Z$4</f>
        <v>50312.49999999999</v>
      </c>
      <c r="AA15" s="33">
        <f t="shared" si="8"/>
        <v>50312.49999999999</v>
      </c>
      <c r="AB15" s="33">
        <f t="shared" si="8"/>
        <v>50312.49999999999</v>
      </c>
      <c r="AC15" s="33">
        <f t="shared" si="8"/>
        <v>50312.49999999999</v>
      </c>
      <c r="AD15" s="33">
        <f t="shared" si="8"/>
        <v>51187.5</v>
      </c>
      <c r="AE15" s="33">
        <f t="shared" si="8"/>
        <v>52062.5</v>
      </c>
      <c r="AF15" s="33">
        <f t="shared" si="8"/>
        <v>52937.5</v>
      </c>
      <c r="AG15" s="33">
        <f t="shared" si="8"/>
        <v>53812.5</v>
      </c>
      <c r="AH15" s="33">
        <f t="shared" si="8"/>
        <v>54687.5</v>
      </c>
      <c r="AI15" s="33">
        <f t="shared" si="8"/>
        <v>55562.5</v>
      </c>
      <c r="AJ15" s="33">
        <f t="shared" si="8"/>
        <v>56437.5</v>
      </c>
      <c r="AK15" s="33">
        <f t="shared" si="8"/>
        <v>57312.5</v>
      </c>
      <c r="AL15" s="33">
        <f t="shared" si="8"/>
        <v>58187.5</v>
      </c>
      <c r="AM15" s="33">
        <f t="shared" si="8"/>
        <v>59062.50000000001</v>
      </c>
      <c r="AN15" s="33">
        <f t="shared" si="8"/>
        <v>59937.50000000001</v>
      </c>
      <c r="AO15" s="33">
        <f t="shared" si="8"/>
        <v>60812.50000000001</v>
      </c>
    </row>
    <row r="16" spans="1:41" s="34" customFormat="1" ht="15" customHeight="1">
      <c r="A16" s="3"/>
      <c r="B16" s="4" t="s">
        <v>65</v>
      </c>
      <c r="C16" s="28" t="s">
        <v>84</v>
      </c>
      <c r="D16" s="28"/>
      <c r="E16" s="29">
        <v>1</v>
      </c>
      <c r="F16" s="29">
        <v>1</v>
      </c>
      <c r="G16" s="29">
        <v>2</v>
      </c>
      <c r="H16" s="29">
        <v>2</v>
      </c>
      <c r="I16" s="29">
        <v>3</v>
      </c>
      <c r="J16" s="29">
        <v>3</v>
      </c>
      <c r="K16" s="29">
        <v>4</v>
      </c>
      <c r="L16" s="29">
        <v>4</v>
      </c>
      <c r="M16" s="29">
        <v>5</v>
      </c>
      <c r="N16" s="29">
        <v>5</v>
      </c>
      <c r="O16" s="29">
        <v>5</v>
      </c>
      <c r="P16" s="29">
        <v>5</v>
      </c>
      <c r="Q16" s="29">
        <v>6</v>
      </c>
      <c r="R16" s="29">
        <v>8</v>
      </c>
      <c r="S16" s="29">
        <v>10</v>
      </c>
      <c r="T16" s="29">
        <v>12</v>
      </c>
      <c r="U16" s="30"/>
      <c r="V16" s="3"/>
      <c r="W16" s="4" t="s">
        <v>65</v>
      </c>
      <c r="X16" s="31">
        <v>120000</v>
      </c>
      <c r="Y16" s="32"/>
      <c r="Z16" s="33">
        <f t="shared" si="8"/>
        <v>34500</v>
      </c>
      <c r="AA16" s="33">
        <f t="shared" si="8"/>
        <v>34500</v>
      </c>
      <c r="AB16" s="33">
        <f t="shared" si="8"/>
        <v>69000</v>
      </c>
      <c r="AC16" s="33">
        <f t="shared" si="8"/>
        <v>69000</v>
      </c>
      <c r="AD16" s="33">
        <f t="shared" si="8"/>
        <v>105300</v>
      </c>
      <c r="AE16" s="33">
        <f t="shared" si="8"/>
        <v>107100</v>
      </c>
      <c r="AF16" s="33">
        <f t="shared" si="8"/>
        <v>145200</v>
      </c>
      <c r="AG16" s="33">
        <f t="shared" si="8"/>
        <v>147600</v>
      </c>
      <c r="AH16" s="33">
        <f t="shared" si="8"/>
        <v>187500</v>
      </c>
      <c r="AI16" s="33">
        <f t="shared" si="8"/>
        <v>190500</v>
      </c>
      <c r="AJ16" s="33">
        <f t="shared" si="8"/>
        <v>193500</v>
      </c>
      <c r="AK16" s="33">
        <f t="shared" si="8"/>
        <v>196500</v>
      </c>
      <c r="AL16" s="33">
        <f t="shared" si="8"/>
        <v>239400</v>
      </c>
      <c r="AM16" s="33">
        <f t="shared" si="8"/>
        <v>324000</v>
      </c>
      <c r="AN16" s="33">
        <f t="shared" si="8"/>
        <v>411000.00000000006</v>
      </c>
      <c r="AO16" s="33">
        <f t="shared" si="8"/>
        <v>500400.00000000006</v>
      </c>
    </row>
    <row r="17" spans="1:41" s="34" customFormat="1" ht="15" customHeight="1">
      <c r="A17" s="3"/>
      <c r="B17" s="4" t="s">
        <v>130</v>
      </c>
      <c r="C17" s="28" t="s">
        <v>84</v>
      </c>
      <c r="D17" s="28"/>
      <c r="E17" s="29">
        <v>0</v>
      </c>
      <c r="F17" s="29">
        <v>0</v>
      </c>
      <c r="G17" s="29">
        <v>1</v>
      </c>
      <c r="H17" s="29">
        <v>1</v>
      </c>
      <c r="I17" s="29">
        <v>2</v>
      </c>
      <c r="J17" s="29">
        <v>2</v>
      </c>
      <c r="K17" s="29">
        <v>2</v>
      </c>
      <c r="L17" s="29">
        <v>2</v>
      </c>
      <c r="M17" s="29">
        <v>3</v>
      </c>
      <c r="N17" s="29">
        <v>3</v>
      </c>
      <c r="O17" s="29">
        <v>4</v>
      </c>
      <c r="P17" s="29">
        <v>4</v>
      </c>
      <c r="Q17" s="29">
        <v>5</v>
      </c>
      <c r="R17" s="29">
        <v>5</v>
      </c>
      <c r="S17" s="29">
        <v>6</v>
      </c>
      <c r="T17" s="29">
        <v>6</v>
      </c>
      <c r="U17" s="30"/>
      <c r="V17" s="3"/>
      <c r="W17" s="4" t="s">
        <v>130</v>
      </c>
      <c r="X17" s="31">
        <v>75000</v>
      </c>
      <c r="Y17" s="32"/>
      <c r="Z17" s="33">
        <f t="shared" si="8"/>
        <v>0</v>
      </c>
      <c r="AA17" s="33">
        <f t="shared" si="8"/>
        <v>0</v>
      </c>
      <c r="AB17" s="33">
        <f t="shared" si="8"/>
        <v>21562.5</v>
      </c>
      <c r="AC17" s="33">
        <f t="shared" si="8"/>
        <v>21562.5</v>
      </c>
      <c r="AD17" s="33">
        <f t="shared" si="8"/>
        <v>43875</v>
      </c>
      <c r="AE17" s="33">
        <f t="shared" si="8"/>
        <v>44625</v>
      </c>
      <c r="AF17" s="33">
        <f t="shared" si="8"/>
        <v>45375</v>
      </c>
      <c r="AG17" s="33">
        <f t="shared" si="8"/>
        <v>46125</v>
      </c>
      <c r="AH17" s="33">
        <f t="shared" si="8"/>
        <v>70312.5</v>
      </c>
      <c r="AI17" s="33">
        <f t="shared" si="8"/>
        <v>71437.5</v>
      </c>
      <c r="AJ17" s="33">
        <f t="shared" si="8"/>
        <v>96750</v>
      </c>
      <c r="AK17" s="33">
        <f t="shared" si="8"/>
        <v>98250</v>
      </c>
      <c r="AL17" s="33">
        <f t="shared" si="8"/>
        <v>124687.5</v>
      </c>
      <c r="AM17" s="33">
        <f t="shared" si="8"/>
        <v>126562.50000000001</v>
      </c>
      <c r="AN17" s="33">
        <f t="shared" si="8"/>
        <v>154125</v>
      </c>
      <c r="AO17" s="33">
        <f t="shared" si="8"/>
        <v>156375</v>
      </c>
    </row>
    <row r="18" spans="1:41" s="34" customFormat="1" ht="15" customHeight="1">
      <c r="A18" s="3"/>
      <c r="B18" s="4" t="s">
        <v>89</v>
      </c>
      <c r="C18" s="28" t="s">
        <v>84</v>
      </c>
      <c r="D18" s="28"/>
      <c r="E18" s="35">
        <v>1</v>
      </c>
      <c r="F18" s="35">
        <v>1</v>
      </c>
      <c r="G18" s="35">
        <v>1</v>
      </c>
      <c r="H18" s="35">
        <v>2</v>
      </c>
      <c r="I18" s="35">
        <v>2</v>
      </c>
      <c r="J18" s="35">
        <v>2</v>
      </c>
      <c r="K18" s="35">
        <v>3</v>
      </c>
      <c r="L18" s="35">
        <v>3</v>
      </c>
      <c r="M18" s="35">
        <v>3</v>
      </c>
      <c r="N18" s="35">
        <v>4</v>
      </c>
      <c r="O18" s="35">
        <v>4</v>
      </c>
      <c r="P18" s="35">
        <v>4</v>
      </c>
      <c r="Q18" s="35">
        <v>5</v>
      </c>
      <c r="R18" s="35">
        <v>5</v>
      </c>
      <c r="S18" s="35">
        <v>6</v>
      </c>
      <c r="T18" s="35">
        <v>6</v>
      </c>
      <c r="U18" s="30"/>
      <c r="V18" s="3"/>
      <c r="W18" s="4" t="s">
        <v>89</v>
      </c>
      <c r="X18" s="31">
        <v>80000</v>
      </c>
      <c r="Y18" s="32"/>
      <c r="Z18" s="33">
        <f t="shared" si="8"/>
        <v>23000</v>
      </c>
      <c r="AA18" s="33">
        <f t="shared" si="8"/>
        <v>23000</v>
      </c>
      <c r="AB18" s="33">
        <f t="shared" si="8"/>
        <v>23000</v>
      </c>
      <c r="AC18" s="33">
        <f t="shared" si="8"/>
        <v>46000</v>
      </c>
      <c r="AD18" s="33">
        <f t="shared" si="8"/>
        <v>46800</v>
      </c>
      <c r="AE18" s="33">
        <f t="shared" si="8"/>
        <v>47600</v>
      </c>
      <c r="AF18" s="33">
        <f t="shared" si="8"/>
        <v>72600</v>
      </c>
      <c r="AG18" s="33">
        <f t="shared" si="8"/>
        <v>73800</v>
      </c>
      <c r="AH18" s="33">
        <f t="shared" si="8"/>
        <v>75000</v>
      </c>
      <c r="AI18" s="33">
        <f t="shared" si="8"/>
        <v>101600</v>
      </c>
      <c r="AJ18" s="33">
        <f t="shared" si="8"/>
        <v>103200</v>
      </c>
      <c r="AK18" s="33">
        <f t="shared" si="8"/>
        <v>104800</v>
      </c>
      <c r="AL18" s="33">
        <f t="shared" si="8"/>
        <v>133000</v>
      </c>
      <c r="AM18" s="33">
        <f t="shared" si="8"/>
        <v>135000</v>
      </c>
      <c r="AN18" s="33">
        <f t="shared" si="8"/>
        <v>164400</v>
      </c>
      <c r="AO18" s="33">
        <f t="shared" si="8"/>
        <v>166800.00000000003</v>
      </c>
    </row>
    <row r="19" spans="2:41" s="3" customFormat="1" ht="15" customHeight="1">
      <c r="B19" s="6" t="s">
        <v>66</v>
      </c>
      <c r="C19" s="6"/>
      <c r="D19" s="6"/>
      <c r="E19" s="36">
        <f aca="true" t="shared" si="9" ref="E19:T19">SUM(E15:E18)</f>
        <v>3</v>
      </c>
      <c r="F19" s="36">
        <f t="shared" si="9"/>
        <v>3</v>
      </c>
      <c r="G19" s="36">
        <f t="shared" si="9"/>
        <v>5</v>
      </c>
      <c r="H19" s="36">
        <f t="shared" si="9"/>
        <v>6</v>
      </c>
      <c r="I19" s="36">
        <f t="shared" si="9"/>
        <v>8</v>
      </c>
      <c r="J19" s="36">
        <f t="shared" si="9"/>
        <v>8</v>
      </c>
      <c r="K19" s="36">
        <f t="shared" si="9"/>
        <v>10</v>
      </c>
      <c r="L19" s="36">
        <f t="shared" si="9"/>
        <v>10</v>
      </c>
      <c r="M19" s="36">
        <f t="shared" si="9"/>
        <v>12</v>
      </c>
      <c r="N19" s="36">
        <f t="shared" si="9"/>
        <v>13</v>
      </c>
      <c r="O19" s="36">
        <f t="shared" si="9"/>
        <v>14</v>
      </c>
      <c r="P19" s="36">
        <f t="shared" si="9"/>
        <v>14</v>
      </c>
      <c r="Q19" s="36">
        <f t="shared" si="9"/>
        <v>17</v>
      </c>
      <c r="R19" s="36">
        <f t="shared" si="9"/>
        <v>19</v>
      </c>
      <c r="S19" s="36">
        <f t="shared" si="9"/>
        <v>23</v>
      </c>
      <c r="T19" s="36">
        <f t="shared" si="9"/>
        <v>25</v>
      </c>
      <c r="W19" s="6" t="s">
        <v>66</v>
      </c>
      <c r="X19" s="16"/>
      <c r="Y19" s="37" t="s">
        <v>102</v>
      </c>
      <c r="Z19" s="38">
        <f>SUM(Z15:Z18)</f>
        <v>107812.5</v>
      </c>
      <c r="AA19" s="38">
        <f aca="true" t="shared" si="10" ref="AA19:AO19">SUM(AA15:AA18)</f>
        <v>107812.5</v>
      </c>
      <c r="AB19" s="38">
        <f t="shared" si="10"/>
        <v>163875</v>
      </c>
      <c r="AC19" s="38">
        <f t="shared" si="10"/>
        <v>186875</v>
      </c>
      <c r="AD19" s="38">
        <f t="shared" si="10"/>
        <v>247162.5</v>
      </c>
      <c r="AE19" s="38">
        <f t="shared" si="10"/>
        <v>251387.5</v>
      </c>
      <c r="AF19" s="38">
        <f t="shared" si="10"/>
        <v>316112.5</v>
      </c>
      <c r="AG19" s="38">
        <f t="shared" si="10"/>
        <v>321337.5</v>
      </c>
      <c r="AH19" s="38">
        <f t="shared" si="10"/>
        <v>387500</v>
      </c>
      <c r="AI19" s="38">
        <f t="shared" si="10"/>
        <v>419100</v>
      </c>
      <c r="AJ19" s="38">
        <f t="shared" si="10"/>
        <v>449887.5</v>
      </c>
      <c r="AK19" s="38">
        <f t="shared" si="10"/>
        <v>456862.5</v>
      </c>
      <c r="AL19" s="38">
        <f t="shared" si="10"/>
        <v>555275</v>
      </c>
      <c r="AM19" s="38">
        <f t="shared" si="10"/>
        <v>644625</v>
      </c>
      <c r="AN19" s="38">
        <f t="shared" si="10"/>
        <v>789462.5</v>
      </c>
      <c r="AO19" s="38">
        <f t="shared" si="10"/>
        <v>884387.5000000001</v>
      </c>
    </row>
    <row r="20" spans="18:24" ht="15" customHeight="1">
      <c r="R20" s="27"/>
      <c r="S20" s="27"/>
      <c r="T20" s="27"/>
      <c r="X20" s="15"/>
    </row>
    <row r="21" spans="1:24" ht="15" customHeight="1">
      <c r="A21" s="3" t="s">
        <v>67</v>
      </c>
      <c r="R21" s="27"/>
      <c r="S21" s="27"/>
      <c r="T21" s="27"/>
      <c r="V21" s="3" t="s">
        <v>67</v>
      </c>
      <c r="X21" s="15"/>
    </row>
    <row r="22" spans="1:41" s="34" customFormat="1" ht="15" customHeight="1">
      <c r="A22" s="3"/>
      <c r="B22" s="4" t="s">
        <v>68</v>
      </c>
      <c r="C22" s="28" t="s">
        <v>84</v>
      </c>
      <c r="D22" s="28"/>
      <c r="E22" s="29">
        <v>1</v>
      </c>
      <c r="F22" s="29">
        <v>1</v>
      </c>
      <c r="G22" s="29">
        <v>1</v>
      </c>
      <c r="H22" s="29">
        <f aca="true" t="shared" si="11" ref="H22:T22">H6*H15</f>
        <v>1</v>
      </c>
      <c r="I22" s="29">
        <f t="shared" si="11"/>
        <v>1</v>
      </c>
      <c r="J22" s="29">
        <f t="shared" si="11"/>
        <v>1</v>
      </c>
      <c r="K22" s="29">
        <f t="shared" si="11"/>
        <v>1</v>
      </c>
      <c r="L22" s="29">
        <f t="shared" si="11"/>
        <v>1</v>
      </c>
      <c r="M22" s="29">
        <f t="shared" si="11"/>
        <v>1</v>
      </c>
      <c r="N22" s="29">
        <f t="shared" si="11"/>
        <v>1</v>
      </c>
      <c r="O22" s="29">
        <f t="shared" si="11"/>
        <v>1</v>
      </c>
      <c r="P22" s="29">
        <f t="shared" si="11"/>
        <v>1</v>
      </c>
      <c r="Q22" s="29">
        <f t="shared" si="11"/>
        <v>1</v>
      </c>
      <c r="R22" s="29">
        <f t="shared" si="11"/>
        <v>1</v>
      </c>
      <c r="S22" s="29">
        <f t="shared" si="11"/>
        <v>1</v>
      </c>
      <c r="T22" s="29">
        <f t="shared" si="11"/>
        <v>1</v>
      </c>
      <c r="U22" s="30"/>
      <c r="V22" s="3"/>
      <c r="W22" s="4" t="s">
        <v>68</v>
      </c>
      <c r="X22" s="31">
        <v>200000</v>
      </c>
      <c r="Y22" s="32"/>
      <c r="Z22" s="33">
        <f aca="true" t="shared" si="12" ref="Z22:AO25">E22*($X22/4)*Z$4</f>
        <v>57499.99999999999</v>
      </c>
      <c r="AA22" s="33">
        <f t="shared" si="12"/>
        <v>57499.99999999999</v>
      </c>
      <c r="AB22" s="33">
        <f t="shared" si="12"/>
        <v>57499.99999999999</v>
      </c>
      <c r="AC22" s="33">
        <f t="shared" si="12"/>
        <v>57499.99999999999</v>
      </c>
      <c r="AD22" s="33">
        <f t="shared" si="12"/>
        <v>58500</v>
      </c>
      <c r="AE22" s="33">
        <f t="shared" si="12"/>
        <v>59500</v>
      </c>
      <c r="AF22" s="33">
        <f t="shared" si="12"/>
        <v>60500</v>
      </c>
      <c r="AG22" s="33">
        <f t="shared" si="12"/>
        <v>61500</v>
      </c>
      <c r="AH22" s="33">
        <f t="shared" si="12"/>
        <v>62500</v>
      </c>
      <c r="AI22" s="33">
        <f t="shared" si="12"/>
        <v>63500</v>
      </c>
      <c r="AJ22" s="33">
        <f t="shared" si="12"/>
        <v>64500</v>
      </c>
      <c r="AK22" s="33">
        <f t="shared" si="12"/>
        <v>65500</v>
      </c>
      <c r="AL22" s="33">
        <f t="shared" si="12"/>
        <v>66500</v>
      </c>
      <c r="AM22" s="33">
        <f t="shared" si="12"/>
        <v>67500</v>
      </c>
      <c r="AN22" s="33">
        <f t="shared" si="12"/>
        <v>68500</v>
      </c>
      <c r="AO22" s="33">
        <f t="shared" si="12"/>
        <v>69500</v>
      </c>
    </row>
    <row r="23" spans="1:41" s="34" customFormat="1" ht="15" customHeight="1">
      <c r="A23" s="3"/>
      <c r="B23" s="4" t="s">
        <v>69</v>
      </c>
      <c r="C23" s="28" t="s">
        <v>84</v>
      </c>
      <c r="D23" s="28"/>
      <c r="E23" s="29">
        <v>1</v>
      </c>
      <c r="F23" s="29">
        <v>2</v>
      </c>
      <c r="G23" s="29">
        <v>4</v>
      </c>
      <c r="H23" s="29">
        <v>5</v>
      </c>
      <c r="I23" s="29">
        <v>6</v>
      </c>
      <c r="J23" s="29">
        <v>8</v>
      </c>
      <c r="K23" s="29">
        <v>8</v>
      </c>
      <c r="L23" s="29">
        <v>10</v>
      </c>
      <c r="M23" s="29">
        <v>10</v>
      </c>
      <c r="N23" s="29">
        <v>12</v>
      </c>
      <c r="O23" s="29">
        <v>14</v>
      </c>
      <c r="P23" s="29">
        <v>16</v>
      </c>
      <c r="Q23" s="29">
        <v>18</v>
      </c>
      <c r="R23" s="29">
        <v>20</v>
      </c>
      <c r="S23" s="29">
        <v>22</v>
      </c>
      <c r="T23" s="29">
        <v>24</v>
      </c>
      <c r="U23" s="30"/>
      <c r="V23" s="3"/>
      <c r="W23" s="4" t="s">
        <v>69</v>
      </c>
      <c r="X23" s="31">
        <v>150000</v>
      </c>
      <c r="Y23" s="32"/>
      <c r="Z23" s="33">
        <f t="shared" si="12"/>
        <v>43125</v>
      </c>
      <c r="AA23" s="33">
        <f t="shared" si="12"/>
        <v>86250</v>
      </c>
      <c r="AB23" s="33">
        <f t="shared" si="12"/>
        <v>172500</v>
      </c>
      <c r="AC23" s="33">
        <f t="shared" si="12"/>
        <v>215624.99999999997</v>
      </c>
      <c r="AD23" s="33">
        <f t="shared" si="12"/>
        <v>263250</v>
      </c>
      <c r="AE23" s="33">
        <f t="shared" si="12"/>
        <v>357000</v>
      </c>
      <c r="AF23" s="33">
        <f t="shared" si="12"/>
        <v>363000</v>
      </c>
      <c r="AG23" s="33">
        <f t="shared" si="12"/>
        <v>461250</v>
      </c>
      <c r="AH23" s="33">
        <f t="shared" si="12"/>
        <v>468750</v>
      </c>
      <c r="AI23" s="33">
        <f t="shared" si="12"/>
        <v>571500</v>
      </c>
      <c r="AJ23" s="33">
        <f t="shared" si="12"/>
        <v>677250</v>
      </c>
      <c r="AK23" s="33">
        <f t="shared" si="12"/>
        <v>786000</v>
      </c>
      <c r="AL23" s="33">
        <f t="shared" si="12"/>
        <v>897750</v>
      </c>
      <c r="AM23" s="33">
        <f t="shared" si="12"/>
        <v>1012500.0000000001</v>
      </c>
      <c r="AN23" s="33">
        <f t="shared" si="12"/>
        <v>1130250</v>
      </c>
      <c r="AO23" s="33">
        <f t="shared" si="12"/>
        <v>1251000</v>
      </c>
    </row>
    <row r="24" spans="1:41" s="34" customFormat="1" ht="15" customHeight="1">
      <c r="A24" s="3"/>
      <c r="B24" s="4" t="s">
        <v>124</v>
      </c>
      <c r="C24" s="28" t="s">
        <v>84</v>
      </c>
      <c r="D24" s="28"/>
      <c r="E24" s="29">
        <f aca="true" t="shared" si="13" ref="E24:T24">E23</f>
        <v>1</v>
      </c>
      <c r="F24" s="29">
        <f t="shared" si="13"/>
        <v>2</v>
      </c>
      <c r="G24" s="29">
        <f t="shared" si="13"/>
        <v>4</v>
      </c>
      <c r="H24" s="29">
        <f t="shared" si="13"/>
        <v>5</v>
      </c>
      <c r="I24" s="29">
        <f t="shared" si="13"/>
        <v>6</v>
      </c>
      <c r="J24" s="29">
        <f t="shared" si="13"/>
        <v>8</v>
      </c>
      <c r="K24" s="29">
        <f t="shared" si="13"/>
        <v>8</v>
      </c>
      <c r="L24" s="29">
        <f t="shared" si="13"/>
        <v>10</v>
      </c>
      <c r="M24" s="29">
        <f t="shared" si="13"/>
        <v>10</v>
      </c>
      <c r="N24" s="29">
        <f t="shared" si="13"/>
        <v>12</v>
      </c>
      <c r="O24" s="29">
        <f t="shared" si="13"/>
        <v>14</v>
      </c>
      <c r="P24" s="29">
        <f t="shared" si="13"/>
        <v>16</v>
      </c>
      <c r="Q24" s="29">
        <f t="shared" si="13"/>
        <v>18</v>
      </c>
      <c r="R24" s="29">
        <f t="shared" si="13"/>
        <v>20</v>
      </c>
      <c r="S24" s="29">
        <f t="shared" si="13"/>
        <v>22</v>
      </c>
      <c r="T24" s="29">
        <f t="shared" si="13"/>
        <v>24</v>
      </c>
      <c r="U24" s="30"/>
      <c r="V24" s="3"/>
      <c r="W24" s="4" t="s">
        <v>124</v>
      </c>
      <c r="X24" s="31">
        <v>75000</v>
      </c>
      <c r="Y24" s="32"/>
      <c r="Z24" s="33">
        <f t="shared" si="12"/>
        <v>21562.5</v>
      </c>
      <c r="AA24" s="33">
        <f t="shared" si="12"/>
        <v>43125</v>
      </c>
      <c r="AB24" s="33">
        <f t="shared" si="12"/>
        <v>86250</v>
      </c>
      <c r="AC24" s="33">
        <f t="shared" si="12"/>
        <v>107812.49999999999</v>
      </c>
      <c r="AD24" s="33">
        <f t="shared" si="12"/>
        <v>131625</v>
      </c>
      <c r="AE24" s="33">
        <f t="shared" si="12"/>
        <v>178500</v>
      </c>
      <c r="AF24" s="33">
        <f t="shared" si="12"/>
        <v>181500</v>
      </c>
      <c r="AG24" s="33">
        <f t="shared" si="12"/>
        <v>230625</v>
      </c>
      <c r="AH24" s="33">
        <f t="shared" si="12"/>
        <v>234375</v>
      </c>
      <c r="AI24" s="33">
        <f t="shared" si="12"/>
        <v>285750</v>
      </c>
      <c r="AJ24" s="33">
        <f t="shared" si="12"/>
        <v>338625</v>
      </c>
      <c r="AK24" s="33">
        <f t="shared" si="12"/>
        <v>393000</v>
      </c>
      <c r="AL24" s="33">
        <f t="shared" si="12"/>
        <v>448875</v>
      </c>
      <c r="AM24" s="33">
        <f t="shared" si="12"/>
        <v>506250.00000000006</v>
      </c>
      <c r="AN24" s="33">
        <f t="shared" si="12"/>
        <v>565125</v>
      </c>
      <c r="AO24" s="33">
        <f t="shared" si="12"/>
        <v>625500</v>
      </c>
    </row>
    <row r="25" spans="1:41" s="34" customFormat="1" ht="15" customHeight="1">
      <c r="A25" s="3"/>
      <c r="B25" s="4" t="s">
        <v>125</v>
      </c>
      <c r="C25" s="28" t="s">
        <v>84</v>
      </c>
      <c r="D25" s="28"/>
      <c r="E25" s="35">
        <v>1</v>
      </c>
      <c r="F25" s="35">
        <v>1</v>
      </c>
      <c r="G25" s="35">
        <v>2</v>
      </c>
      <c r="H25" s="35">
        <v>2</v>
      </c>
      <c r="I25" s="35">
        <v>3</v>
      </c>
      <c r="J25" s="35">
        <v>3</v>
      </c>
      <c r="K25" s="35">
        <v>4</v>
      </c>
      <c r="L25" s="35">
        <v>4</v>
      </c>
      <c r="M25" s="35">
        <v>5</v>
      </c>
      <c r="N25" s="35">
        <v>5</v>
      </c>
      <c r="O25" s="35">
        <v>6</v>
      </c>
      <c r="P25" s="35">
        <v>6</v>
      </c>
      <c r="Q25" s="35">
        <v>7</v>
      </c>
      <c r="R25" s="35">
        <v>7</v>
      </c>
      <c r="S25" s="35">
        <v>8</v>
      </c>
      <c r="T25" s="35">
        <v>8</v>
      </c>
      <c r="U25" s="30"/>
      <c r="V25" s="3"/>
      <c r="W25" s="4" t="s">
        <v>125</v>
      </c>
      <c r="X25" s="31">
        <v>50000</v>
      </c>
      <c r="Y25" s="32"/>
      <c r="Z25" s="33">
        <f t="shared" si="12"/>
        <v>14374.999999999998</v>
      </c>
      <c r="AA25" s="33">
        <f t="shared" si="12"/>
        <v>14374.999999999998</v>
      </c>
      <c r="AB25" s="33">
        <f t="shared" si="12"/>
        <v>28749.999999999996</v>
      </c>
      <c r="AC25" s="33">
        <f t="shared" si="12"/>
        <v>28749.999999999996</v>
      </c>
      <c r="AD25" s="33">
        <f t="shared" si="12"/>
        <v>43875</v>
      </c>
      <c r="AE25" s="33">
        <f t="shared" si="12"/>
        <v>44625</v>
      </c>
      <c r="AF25" s="33">
        <f t="shared" si="12"/>
        <v>60500</v>
      </c>
      <c r="AG25" s="33">
        <f t="shared" si="12"/>
        <v>61500</v>
      </c>
      <c r="AH25" s="33">
        <f t="shared" si="12"/>
        <v>78125</v>
      </c>
      <c r="AI25" s="33">
        <f t="shared" si="12"/>
        <v>79375</v>
      </c>
      <c r="AJ25" s="33">
        <f t="shared" si="12"/>
        <v>96750</v>
      </c>
      <c r="AK25" s="33">
        <f t="shared" si="12"/>
        <v>98250</v>
      </c>
      <c r="AL25" s="33">
        <f t="shared" si="12"/>
        <v>116375</v>
      </c>
      <c r="AM25" s="33">
        <f t="shared" si="12"/>
        <v>118125.00000000001</v>
      </c>
      <c r="AN25" s="33">
        <f t="shared" si="12"/>
        <v>137000</v>
      </c>
      <c r="AO25" s="33">
        <f t="shared" si="12"/>
        <v>139000</v>
      </c>
    </row>
    <row r="26" spans="2:41" s="3" customFormat="1" ht="15" customHeight="1">
      <c r="B26" s="6" t="s">
        <v>70</v>
      </c>
      <c r="C26" s="6"/>
      <c r="D26" s="6"/>
      <c r="E26" s="36">
        <f aca="true" t="shared" si="14" ref="E26:T26">SUM(E22:E25)</f>
        <v>4</v>
      </c>
      <c r="F26" s="36">
        <f t="shared" si="14"/>
        <v>6</v>
      </c>
      <c r="G26" s="36">
        <f t="shared" si="14"/>
        <v>11</v>
      </c>
      <c r="H26" s="36">
        <f t="shared" si="14"/>
        <v>13</v>
      </c>
      <c r="I26" s="36">
        <f t="shared" si="14"/>
        <v>16</v>
      </c>
      <c r="J26" s="36">
        <f t="shared" si="14"/>
        <v>20</v>
      </c>
      <c r="K26" s="36">
        <f t="shared" si="14"/>
        <v>21</v>
      </c>
      <c r="L26" s="36">
        <f t="shared" si="14"/>
        <v>25</v>
      </c>
      <c r="M26" s="36">
        <f t="shared" si="14"/>
        <v>26</v>
      </c>
      <c r="N26" s="36">
        <f t="shared" si="14"/>
        <v>30</v>
      </c>
      <c r="O26" s="36">
        <f t="shared" si="14"/>
        <v>35</v>
      </c>
      <c r="P26" s="36">
        <f t="shared" si="14"/>
        <v>39</v>
      </c>
      <c r="Q26" s="36">
        <f t="shared" si="14"/>
        <v>44</v>
      </c>
      <c r="R26" s="36">
        <f t="shared" si="14"/>
        <v>48</v>
      </c>
      <c r="S26" s="36">
        <f t="shared" si="14"/>
        <v>53</v>
      </c>
      <c r="T26" s="36">
        <f t="shared" si="14"/>
        <v>57</v>
      </c>
      <c r="W26" s="6" t="s">
        <v>70</v>
      </c>
      <c r="X26" s="16"/>
      <c r="Y26" s="37" t="s">
        <v>102</v>
      </c>
      <c r="Z26" s="38">
        <f>SUM(Z22:Z25)</f>
        <v>136562.5</v>
      </c>
      <c r="AA26" s="38">
        <f aca="true" t="shared" si="15" ref="AA26:AO26">SUM(AA22:AA25)</f>
        <v>201250</v>
      </c>
      <c r="AB26" s="38">
        <f t="shared" si="15"/>
        <v>345000</v>
      </c>
      <c r="AC26" s="38">
        <f t="shared" si="15"/>
        <v>409687.49999999994</v>
      </c>
      <c r="AD26" s="38">
        <f t="shared" si="15"/>
        <v>497250</v>
      </c>
      <c r="AE26" s="38">
        <f t="shared" si="15"/>
        <v>639625</v>
      </c>
      <c r="AF26" s="38">
        <f t="shared" si="15"/>
        <v>665500</v>
      </c>
      <c r="AG26" s="38">
        <f t="shared" si="15"/>
        <v>814875</v>
      </c>
      <c r="AH26" s="38">
        <f t="shared" si="15"/>
        <v>843750</v>
      </c>
      <c r="AI26" s="38">
        <f t="shared" si="15"/>
        <v>1000125</v>
      </c>
      <c r="AJ26" s="38">
        <f t="shared" si="15"/>
        <v>1177125</v>
      </c>
      <c r="AK26" s="38">
        <f t="shared" si="15"/>
        <v>1342750</v>
      </c>
      <c r="AL26" s="38">
        <f t="shared" si="15"/>
        <v>1529500</v>
      </c>
      <c r="AM26" s="38">
        <f t="shared" si="15"/>
        <v>1704375</v>
      </c>
      <c r="AN26" s="38">
        <f t="shared" si="15"/>
        <v>1900875</v>
      </c>
      <c r="AO26" s="38">
        <f t="shared" si="15"/>
        <v>2085000</v>
      </c>
    </row>
    <row r="27" spans="18:24" ht="15" customHeight="1">
      <c r="R27" s="27"/>
      <c r="S27" s="27"/>
      <c r="T27" s="27"/>
      <c r="X27" s="15"/>
    </row>
    <row r="28" spans="1:24" ht="15" customHeight="1">
      <c r="A28" s="3" t="s">
        <v>71</v>
      </c>
      <c r="R28" s="27"/>
      <c r="S28" s="27"/>
      <c r="T28" s="27"/>
      <c r="V28" s="3" t="s">
        <v>71</v>
      </c>
      <c r="X28" s="15"/>
    </row>
    <row r="29" spans="1:41" s="34" customFormat="1" ht="14.25" customHeight="1">
      <c r="A29" s="3"/>
      <c r="B29" s="4" t="s">
        <v>90</v>
      </c>
      <c r="C29" s="28" t="s">
        <v>84</v>
      </c>
      <c r="D29" s="28"/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1</v>
      </c>
      <c r="L29" s="29">
        <v>1</v>
      </c>
      <c r="M29" s="29">
        <v>1</v>
      </c>
      <c r="N29" s="29">
        <v>1</v>
      </c>
      <c r="O29" s="29">
        <v>1</v>
      </c>
      <c r="P29" s="29">
        <v>1</v>
      </c>
      <c r="Q29" s="29">
        <v>1</v>
      </c>
      <c r="R29" s="29">
        <v>1</v>
      </c>
      <c r="S29" s="29">
        <v>1</v>
      </c>
      <c r="T29" s="29">
        <v>1</v>
      </c>
      <c r="U29" s="30"/>
      <c r="V29" s="3"/>
      <c r="W29" s="4" t="s">
        <v>90</v>
      </c>
      <c r="X29" s="31">
        <v>175000</v>
      </c>
      <c r="Y29" s="32"/>
      <c r="Z29" s="33">
        <f aca="true" t="shared" si="16" ref="Z29:AO33">E29*($X29/4)*Z$4</f>
        <v>50312.49999999999</v>
      </c>
      <c r="AA29" s="33">
        <f t="shared" si="16"/>
        <v>50312.49999999999</v>
      </c>
      <c r="AB29" s="33">
        <f t="shared" si="16"/>
        <v>50312.49999999999</v>
      </c>
      <c r="AC29" s="33">
        <f t="shared" si="16"/>
        <v>50312.49999999999</v>
      </c>
      <c r="AD29" s="33">
        <f t="shared" si="16"/>
        <v>51187.5</v>
      </c>
      <c r="AE29" s="33">
        <f t="shared" si="16"/>
        <v>52062.5</v>
      </c>
      <c r="AF29" s="33">
        <f t="shared" si="16"/>
        <v>52937.5</v>
      </c>
      <c r="AG29" s="33">
        <f t="shared" si="16"/>
        <v>53812.5</v>
      </c>
      <c r="AH29" s="33">
        <f t="shared" si="16"/>
        <v>54687.5</v>
      </c>
      <c r="AI29" s="33">
        <f t="shared" si="16"/>
        <v>55562.5</v>
      </c>
      <c r="AJ29" s="33">
        <f t="shared" si="16"/>
        <v>56437.5</v>
      </c>
      <c r="AK29" s="33">
        <f t="shared" si="16"/>
        <v>57312.5</v>
      </c>
      <c r="AL29" s="33">
        <f t="shared" si="16"/>
        <v>58187.5</v>
      </c>
      <c r="AM29" s="33">
        <f t="shared" si="16"/>
        <v>59062.50000000001</v>
      </c>
      <c r="AN29" s="33">
        <f t="shared" si="16"/>
        <v>59937.50000000001</v>
      </c>
      <c r="AO29" s="33">
        <f t="shared" si="16"/>
        <v>60812.50000000001</v>
      </c>
    </row>
    <row r="30" spans="1:41" s="34" customFormat="1" ht="14.25" customHeight="1">
      <c r="A30" s="3"/>
      <c r="B30" s="4" t="s">
        <v>72</v>
      </c>
      <c r="C30" s="28" t="s">
        <v>84</v>
      </c>
      <c r="D30" s="28"/>
      <c r="E30" s="29"/>
      <c r="F30" s="29"/>
      <c r="G30" s="29"/>
      <c r="H30" s="29"/>
      <c r="I30" s="29">
        <v>1</v>
      </c>
      <c r="J30" s="29">
        <v>1</v>
      </c>
      <c r="K30" s="29">
        <v>1</v>
      </c>
      <c r="L30" s="29">
        <v>1</v>
      </c>
      <c r="M30" s="29">
        <v>1</v>
      </c>
      <c r="N30" s="29">
        <v>1</v>
      </c>
      <c r="O30" s="29">
        <v>1</v>
      </c>
      <c r="P30" s="29">
        <v>1</v>
      </c>
      <c r="Q30" s="29">
        <v>1</v>
      </c>
      <c r="R30" s="29">
        <v>1</v>
      </c>
      <c r="S30" s="29">
        <v>1</v>
      </c>
      <c r="T30" s="29">
        <v>1</v>
      </c>
      <c r="U30" s="30"/>
      <c r="V30" s="3"/>
      <c r="W30" s="4" t="s">
        <v>72</v>
      </c>
      <c r="X30" s="31">
        <v>120000</v>
      </c>
      <c r="Y30" s="32"/>
      <c r="Z30" s="33">
        <f t="shared" si="16"/>
        <v>0</v>
      </c>
      <c r="AA30" s="33">
        <f t="shared" si="16"/>
        <v>0</v>
      </c>
      <c r="AB30" s="33">
        <f t="shared" si="16"/>
        <v>0</v>
      </c>
      <c r="AC30" s="33">
        <f t="shared" si="16"/>
        <v>0</v>
      </c>
      <c r="AD30" s="33">
        <f t="shared" si="16"/>
        <v>35100</v>
      </c>
      <c r="AE30" s="33">
        <f t="shared" si="16"/>
        <v>35700</v>
      </c>
      <c r="AF30" s="33">
        <f t="shared" si="16"/>
        <v>36300</v>
      </c>
      <c r="AG30" s="33">
        <f t="shared" si="16"/>
        <v>36900</v>
      </c>
      <c r="AH30" s="33">
        <f t="shared" si="16"/>
        <v>37500</v>
      </c>
      <c r="AI30" s="33">
        <f t="shared" si="16"/>
        <v>38100</v>
      </c>
      <c r="AJ30" s="33">
        <f t="shared" si="16"/>
        <v>38700</v>
      </c>
      <c r="AK30" s="33">
        <f t="shared" si="16"/>
        <v>39300</v>
      </c>
      <c r="AL30" s="33">
        <f t="shared" si="16"/>
        <v>39900</v>
      </c>
      <c r="AM30" s="33">
        <f t="shared" si="16"/>
        <v>40500</v>
      </c>
      <c r="AN30" s="33">
        <f t="shared" si="16"/>
        <v>41100</v>
      </c>
      <c r="AO30" s="33">
        <f t="shared" si="16"/>
        <v>41700.00000000001</v>
      </c>
    </row>
    <row r="31" spans="1:41" s="34" customFormat="1" ht="14.25" customHeight="1">
      <c r="A31" s="3"/>
      <c r="B31" s="4" t="s">
        <v>110</v>
      </c>
      <c r="C31" s="28" t="s">
        <v>84</v>
      </c>
      <c r="D31" s="28"/>
      <c r="E31" s="29">
        <v>1</v>
      </c>
      <c r="F31" s="29">
        <v>1</v>
      </c>
      <c r="G31" s="29">
        <v>2</v>
      </c>
      <c r="H31" s="29">
        <v>2</v>
      </c>
      <c r="I31" s="29">
        <v>3</v>
      </c>
      <c r="J31" s="29">
        <v>3</v>
      </c>
      <c r="K31" s="29">
        <v>4</v>
      </c>
      <c r="L31" s="29">
        <v>4</v>
      </c>
      <c r="M31" s="29">
        <v>6</v>
      </c>
      <c r="N31" s="29">
        <v>6</v>
      </c>
      <c r="O31" s="29">
        <v>6</v>
      </c>
      <c r="P31" s="29">
        <v>8</v>
      </c>
      <c r="Q31" s="29">
        <v>8</v>
      </c>
      <c r="R31" s="29">
        <v>10</v>
      </c>
      <c r="S31" s="29">
        <v>12</v>
      </c>
      <c r="T31" s="29">
        <v>12</v>
      </c>
      <c r="U31" s="30"/>
      <c r="V31" s="3"/>
      <c r="W31" s="4" t="s">
        <v>110</v>
      </c>
      <c r="X31" s="31">
        <v>70000</v>
      </c>
      <c r="Y31" s="32"/>
      <c r="Z31" s="33">
        <f t="shared" si="16"/>
        <v>20125</v>
      </c>
      <c r="AA31" s="33">
        <f t="shared" si="16"/>
        <v>20125</v>
      </c>
      <c r="AB31" s="33">
        <f t="shared" si="16"/>
        <v>40250</v>
      </c>
      <c r="AC31" s="33">
        <f t="shared" si="16"/>
        <v>40250</v>
      </c>
      <c r="AD31" s="33">
        <f t="shared" si="16"/>
        <v>61424.99999999999</v>
      </c>
      <c r="AE31" s="33">
        <f t="shared" si="16"/>
        <v>62475</v>
      </c>
      <c r="AF31" s="33">
        <f t="shared" si="16"/>
        <v>84700</v>
      </c>
      <c r="AG31" s="33">
        <f t="shared" si="16"/>
        <v>86100</v>
      </c>
      <c r="AH31" s="33">
        <f t="shared" si="16"/>
        <v>131250</v>
      </c>
      <c r="AI31" s="33">
        <f t="shared" si="16"/>
        <v>133350</v>
      </c>
      <c r="AJ31" s="33">
        <f t="shared" si="16"/>
        <v>135450</v>
      </c>
      <c r="AK31" s="33">
        <f t="shared" si="16"/>
        <v>183400</v>
      </c>
      <c r="AL31" s="33">
        <f t="shared" si="16"/>
        <v>186200</v>
      </c>
      <c r="AM31" s="33">
        <f t="shared" si="16"/>
        <v>236250.00000000003</v>
      </c>
      <c r="AN31" s="33">
        <f t="shared" si="16"/>
        <v>287700</v>
      </c>
      <c r="AO31" s="33">
        <f t="shared" si="16"/>
        <v>291900</v>
      </c>
    </row>
    <row r="32" spans="1:41" s="34" customFormat="1" ht="14.25" customHeight="1">
      <c r="A32" s="3"/>
      <c r="B32" s="4" t="s">
        <v>128</v>
      </c>
      <c r="C32" s="28" t="s">
        <v>84</v>
      </c>
      <c r="D32" s="28"/>
      <c r="E32" s="29">
        <v>1</v>
      </c>
      <c r="F32" s="29">
        <v>2</v>
      </c>
      <c r="G32" s="29">
        <v>3</v>
      </c>
      <c r="H32" s="29">
        <v>3</v>
      </c>
      <c r="I32" s="29">
        <v>4</v>
      </c>
      <c r="J32" s="29">
        <v>4</v>
      </c>
      <c r="K32" s="29">
        <v>4</v>
      </c>
      <c r="L32" s="29">
        <v>4</v>
      </c>
      <c r="M32" s="29">
        <v>4</v>
      </c>
      <c r="N32" s="29">
        <v>4</v>
      </c>
      <c r="O32" s="29">
        <v>6</v>
      </c>
      <c r="P32" s="29">
        <v>6</v>
      </c>
      <c r="Q32" s="29">
        <v>6</v>
      </c>
      <c r="R32" s="29">
        <v>6</v>
      </c>
      <c r="S32" s="29">
        <v>8</v>
      </c>
      <c r="T32" s="29">
        <v>8</v>
      </c>
      <c r="U32" s="30"/>
      <c r="V32" s="3"/>
      <c r="W32" s="4" t="s">
        <v>128</v>
      </c>
      <c r="X32" s="31">
        <v>70000</v>
      </c>
      <c r="Y32" s="32"/>
      <c r="Z32" s="33">
        <f t="shared" si="16"/>
        <v>20125</v>
      </c>
      <c r="AA32" s="33">
        <f t="shared" si="16"/>
        <v>40250</v>
      </c>
      <c r="AB32" s="33">
        <f t="shared" si="16"/>
        <v>60374.99999999999</v>
      </c>
      <c r="AC32" s="33">
        <f t="shared" si="16"/>
        <v>60374.99999999999</v>
      </c>
      <c r="AD32" s="33">
        <f t="shared" si="16"/>
        <v>81900</v>
      </c>
      <c r="AE32" s="33">
        <f t="shared" si="16"/>
        <v>83300</v>
      </c>
      <c r="AF32" s="33">
        <f t="shared" si="16"/>
        <v>84700</v>
      </c>
      <c r="AG32" s="33">
        <f t="shared" si="16"/>
        <v>86100</v>
      </c>
      <c r="AH32" s="33">
        <f t="shared" si="16"/>
        <v>87500</v>
      </c>
      <c r="AI32" s="33">
        <f t="shared" si="16"/>
        <v>88900</v>
      </c>
      <c r="AJ32" s="33">
        <f t="shared" si="16"/>
        <v>135450</v>
      </c>
      <c r="AK32" s="33">
        <f t="shared" si="16"/>
        <v>137550</v>
      </c>
      <c r="AL32" s="33">
        <f t="shared" si="16"/>
        <v>139650</v>
      </c>
      <c r="AM32" s="33">
        <f t="shared" si="16"/>
        <v>141750</v>
      </c>
      <c r="AN32" s="33">
        <f t="shared" si="16"/>
        <v>191800.00000000003</v>
      </c>
      <c r="AO32" s="33">
        <f t="shared" si="16"/>
        <v>194600.00000000003</v>
      </c>
    </row>
    <row r="33" spans="1:41" s="34" customFormat="1" ht="15" customHeight="1">
      <c r="A33" s="3"/>
      <c r="B33" s="4" t="s">
        <v>89</v>
      </c>
      <c r="C33" s="28" t="s">
        <v>84</v>
      </c>
      <c r="D33" s="28"/>
      <c r="E33" s="35">
        <v>1</v>
      </c>
      <c r="F33" s="35">
        <v>1</v>
      </c>
      <c r="G33" s="35">
        <v>2</v>
      </c>
      <c r="H33" s="35">
        <v>2</v>
      </c>
      <c r="I33" s="35">
        <v>3</v>
      </c>
      <c r="J33" s="35">
        <v>3</v>
      </c>
      <c r="K33" s="35">
        <v>4</v>
      </c>
      <c r="L33" s="35">
        <v>4</v>
      </c>
      <c r="M33" s="35">
        <v>5</v>
      </c>
      <c r="N33" s="35">
        <v>5</v>
      </c>
      <c r="O33" s="35">
        <v>6</v>
      </c>
      <c r="P33" s="35">
        <v>6</v>
      </c>
      <c r="Q33" s="35">
        <v>8</v>
      </c>
      <c r="R33" s="35">
        <v>10</v>
      </c>
      <c r="S33" s="35">
        <v>12</v>
      </c>
      <c r="T33" s="35">
        <v>14</v>
      </c>
      <c r="U33" s="30"/>
      <c r="V33" s="3"/>
      <c r="W33" s="4" t="s">
        <v>89</v>
      </c>
      <c r="X33" s="31">
        <v>60000</v>
      </c>
      <c r="Y33" s="32"/>
      <c r="Z33" s="33">
        <f t="shared" si="16"/>
        <v>17250</v>
      </c>
      <c r="AA33" s="33">
        <f t="shared" si="16"/>
        <v>17250</v>
      </c>
      <c r="AB33" s="33">
        <f t="shared" si="16"/>
        <v>34500</v>
      </c>
      <c r="AC33" s="33">
        <f t="shared" si="16"/>
        <v>34500</v>
      </c>
      <c r="AD33" s="33">
        <f t="shared" si="16"/>
        <v>52650</v>
      </c>
      <c r="AE33" s="33">
        <f t="shared" si="16"/>
        <v>53550</v>
      </c>
      <c r="AF33" s="33">
        <f t="shared" si="16"/>
        <v>72600</v>
      </c>
      <c r="AG33" s="33">
        <f t="shared" si="16"/>
        <v>73800</v>
      </c>
      <c r="AH33" s="33">
        <f t="shared" si="16"/>
        <v>93750</v>
      </c>
      <c r="AI33" s="33">
        <f t="shared" si="16"/>
        <v>95250</v>
      </c>
      <c r="AJ33" s="33">
        <f t="shared" si="16"/>
        <v>116100</v>
      </c>
      <c r="AK33" s="33">
        <f t="shared" si="16"/>
        <v>117900</v>
      </c>
      <c r="AL33" s="33">
        <f t="shared" si="16"/>
        <v>159600</v>
      </c>
      <c r="AM33" s="33">
        <f t="shared" si="16"/>
        <v>202500</v>
      </c>
      <c r="AN33" s="33">
        <f t="shared" si="16"/>
        <v>246600.00000000003</v>
      </c>
      <c r="AO33" s="33">
        <f t="shared" si="16"/>
        <v>291900</v>
      </c>
    </row>
    <row r="34" spans="2:41" s="3" customFormat="1" ht="15" customHeight="1">
      <c r="B34" s="6" t="s">
        <v>73</v>
      </c>
      <c r="C34" s="6"/>
      <c r="D34" s="6"/>
      <c r="E34" s="36">
        <f>SUM(E29:E33)</f>
        <v>4</v>
      </c>
      <c r="F34" s="36">
        <f aca="true" t="shared" si="17" ref="F34:T34">SUM(F29:F33)</f>
        <v>5</v>
      </c>
      <c r="G34" s="36">
        <f t="shared" si="17"/>
        <v>8</v>
      </c>
      <c r="H34" s="36">
        <f t="shared" si="17"/>
        <v>8</v>
      </c>
      <c r="I34" s="36">
        <f t="shared" si="17"/>
        <v>12</v>
      </c>
      <c r="J34" s="36">
        <f t="shared" si="17"/>
        <v>12</v>
      </c>
      <c r="K34" s="36">
        <f t="shared" si="17"/>
        <v>14</v>
      </c>
      <c r="L34" s="36">
        <f t="shared" si="17"/>
        <v>14</v>
      </c>
      <c r="M34" s="36">
        <f t="shared" si="17"/>
        <v>17</v>
      </c>
      <c r="N34" s="36">
        <f t="shared" si="17"/>
        <v>17</v>
      </c>
      <c r="O34" s="36">
        <f t="shared" si="17"/>
        <v>20</v>
      </c>
      <c r="P34" s="36">
        <f t="shared" si="17"/>
        <v>22</v>
      </c>
      <c r="Q34" s="36">
        <f t="shared" si="17"/>
        <v>24</v>
      </c>
      <c r="R34" s="36">
        <f t="shared" si="17"/>
        <v>28</v>
      </c>
      <c r="S34" s="36">
        <f t="shared" si="17"/>
        <v>34</v>
      </c>
      <c r="T34" s="36">
        <f t="shared" si="17"/>
        <v>36</v>
      </c>
      <c r="W34" s="6" t="s">
        <v>73</v>
      </c>
      <c r="X34" s="16"/>
      <c r="Y34" s="37" t="s">
        <v>102</v>
      </c>
      <c r="Z34" s="38">
        <f>SUM(Z29:Z33)</f>
        <v>107812.5</v>
      </c>
      <c r="AA34" s="38">
        <f aca="true" t="shared" si="18" ref="AA34:AO34">SUM(AA29:AA33)</f>
        <v>127937.5</v>
      </c>
      <c r="AB34" s="38">
        <f t="shared" si="18"/>
        <v>185437.5</v>
      </c>
      <c r="AC34" s="38">
        <f t="shared" si="18"/>
        <v>185437.5</v>
      </c>
      <c r="AD34" s="38">
        <f t="shared" si="18"/>
        <v>282262.5</v>
      </c>
      <c r="AE34" s="38">
        <f t="shared" si="18"/>
        <v>287087.5</v>
      </c>
      <c r="AF34" s="38">
        <f t="shared" si="18"/>
        <v>331237.5</v>
      </c>
      <c r="AG34" s="38">
        <f t="shared" si="18"/>
        <v>336712.5</v>
      </c>
      <c r="AH34" s="38">
        <f t="shared" si="18"/>
        <v>404687.5</v>
      </c>
      <c r="AI34" s="38">
        <f t="shared" si="18"/>
        <v>411162.5</v>
      </c>
      <c r="AJ34" s="38">
        <f t="shared" si="18"/>
        <v>482137.5</v>
      </c>
      <c r="AK34" s="38">
        <f t="shared" si="18"/>
        <v>535462.5</v>
      </c>
      <c r="AL34" s="38">
        <f t="shared" si="18"/>
        <v>583537.5</v>
      </c>
      <c r="AM34" s="38">
        <f t="shared" si="18"/>
        <v>680062.5</v>
      </c>
      <c r="AN34" s="38">
        <f t="shared" si="18"/>
        <v>827137.5</v>
      </c>
      <c r="AO34" s="38">
        <f t="shared" si="18"/>
        <v>880912.5</v>
      </c>
    </row>
    <row r="35" spans="18:20" ht="15" customHeight="1">
      <c r="R35" s="27"/>
      <c r="S35" s="27"/>
      <c r="T35" s="27"/>
    </row>
    <row r="36" spans="1:22" ht="15" customHeight="1">
      <c r="A36" s="3" t="s">
        <v>2</v>
      </c>
      <c r="C36" s="8"/>
      <c r="E36" s="36">
        <f aca="true" t="shared" si="19" ref="E36:T36">E12+E19+E26+E34</f>
        <v>17</v>
      </c>
      <c r="F36" s="36">
        <f t="shared" si="19"/>
        <v>26</v>
      </c>
      <c r="G36" s="36">
        <f t="shared" si="19"/>
        <v>38</v>
      </c>
      <c r="H36" s="36">
        <f t="shared" si="19"/>
        <v>44</v>
      </c>
      <c r="I36" s="36">
        <f t="shared" si="19"/>
        <v>56</v>
      </c>
      <c r="J36" s="36">
        <f t="shared" si="19"/>
        <v>65</v>
      </c>
      <c r="K36" s="36">
        <f t="shared" si="19"/>
        <v>72</v>
      </c>
      <c r="L36" s="36">
        <f t="shared" si="19"/>
        <v>80</v>
      </c>
      <c r="M36" s="36">
        <f t="shared" si="19"/>
        <v>92</v>
      </c>
      <c r="N36" s="36">
        <f t="shared" si="19"/>
        <v>101</v>
      </c>
      <c r="O36" s="36">
        <f t="shared" si="19"/>
        <v>115</v>
      </c>
      <c r="P36" s="36">
        <f t="shared" si="19"/>
        <v>125</v>
      </c>
      <c r="Q36" s="36">
        <f t="shared" si="19"/>
        <v>141</v>
      </c>
      <c r="R36" s="36">
        <f t="shared" si="19"/>
        <v>155</v>
      </c>
      <c r="S36" s="36">
        <f t="shared" si="19"/>
        <v>175</v>
      </c>
      <c r="T36" s="36">
        <f t="shared" si="19"/>
        <v>190</v>
      </c>
      <c r="V36" s="3" t="s">
        <v>2</v>
      </c>
    </row>
    <row r="38" spans="1:22" ht="15" customHeight="1">
      <c r="A38" s="3" t="s">
        <v>127</v>
      </c>
      <c r="C38" s="4" t="s">
        <v>3</v>
      </c>
      <c r="E38" s="39">
        <f>'P &amp; L by Qtr'!E6/'Staffing Plan'!E36/1000*4</f>
        <v>0</v>
      </c>
      <c r="F38" s="39">
        <f>'P &amp; L by Qtr'!F6/'Staffing Plan'!F36/1000*4</f>
        <v>31.923076923076923</v>
      </c>
      <c r="G38" s="39">
        <f>'P &amp; L by Qtr'!G6/'Staffing Plan'!G36/1000*4</f>
        <v>55.19736842105263</v>
      </c>
      <c r="H38" s="39">
        <f>'P &amp; L by Qtr'!H6/'Staffing Plan'!H36/1000*4</f>
        <v>95.98011363636363</v>
      </c>
      <c r="I38" s="39">
        <f>'P &amp; L by Qtr'!I6/'Staffing Plan'!I36/1000*4</f>
        <v>131.93470982142858</v>
      </c>
      <c r="J38" s="39">
        <f>'P &amp; L by Qtr'!J6/'Staffing Plan'!J36/1000*4</f>
        <v>171.58088942307694</v>
      </c>
      <c r="K38" s="39">
        <f>'P &amp; L by Qtr'!K6/'Staffing Plan'!K36/1000*4</f>
        <v>208.00789388020834</v>
      </c>
      <c r="L38" s="39">
        <f>'P &amp; L by Qtr'!L6/'Staffing Plan'!L36/1000*4</f>
        <v>235.56157836914062</v>
      </c>
      <c r="M38" s="39">
        <f>'P &amp; L by Qtr'!M6/'Staffing Plan'!M36/1000*4</f>
        <v>255.81733371900475</v>
      </c>
      <c r="N38" s="39">
        <f>'P &amp; L by Qtr'!N6/'Staffing Plan'!N36/1000*4</f>
        <v>318.1326339268448</v>
      </c>
      <c r="O38" s="39">
        <f>'P &amp; L by Qtr'!O6/'Staffing Plan'!O36/1000*4</f>
        <v>370.1612784344217</v>
      </c>
      <c r="P38" s="39">
        <f>'P &amp; L by Qtr'!P6/'Staffing Plan'!P36/1000*4</f>
        <v>425.25128211975095</v>
      </c>
      <c r="Q38" s="39">
        <f>'P &amp; L by Qtr'!Q6/'Staffing Plan'!Q36/1000*4</f>
        <v>385.19367162217486</v>
      </c>
      <c r="R38" s="39">
        <f>'P &amp; L by Qtr'!R6/'Staffing Plan'!R36/1000*4</f>
        <v>404.9305211228709</v>
      </c>
      <c r="S38" s="39">
        <f>'P &amp; L by Qtr'!S6/'Staffing Plan'!S36/1000*4</f>
        <v>397.8752747459071</v>
      </c>
      <c r="T38" s="39">
        <f>'P &amp; L by Qtr'!T6/'Staffing Plan'!T36/1000*4</f>
        <v>420.1112095284227</v>
      </c>
      <c r="V38" s="3" t="s">
        <v>127</v>
      </c>
    </row>
    <row r="39" spans="18:20" ht="15" customHeight="1">
      <c r="R39" s="27"/>
      <c r="S39" s="27"/>
      <c r="T39" s="27"/>
    </row>
  </sheetData>
  <sheetProtection/>
  <printOptions gridLines="1" horizontalCentered="1"/>
  <pageMargins left="0.25" right="0.25" top="0.48" bottom="0.75" header="0.41" footer="0.5"/>
  <pageSetup fitToHeight="1" fitToWidth="1" horizontalDpi="300" verticalDpi="300" orientation="landscape" scale="94"/>
  <headerFooter alignWithMargins="0">
    <oddFooter>&amp;L&amp;A&amp;CPage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1"/>
  <sheetViews>
    <sheetView zoomScale="150" zoomScaleNormal="1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6" sqref="A16:H29"/>
    </sheetView>
  </sheetViews>
  <sheetFormatPr defaultColWidth="8.8515625" defaultRowHeight="15" customHeight="1"/>
  <cols>
    <col min="1" max="1" width="3.57421875" style="34" customWidth="1"/>
    <col min="2" max="2" width="16.00390625" style="34" customWidth="1"/>
    <col min="3" max="3" width="8.00390625" style="34" bestFit="1" customWidth="1"/>
    <col min="4" max="4" width="11.00390625" style="46" bestFit="1" customWidth="1"/>
    <col min="5" max="5" width="9.421875" style="30" bestFit="1" customWidth="1"/>
    <col min="6" max="17" width="10.8515625" style="30" bestFit="1" customWidth="1"/>
    <col min="18" max="20" width="10.8515625" style="34" bestFit="1" customWidth="1"/>
    <col min="21" max="16384" width="8.8515625" style="34" customWidth="1"/>
  </cols>
  <sheetData>
    <row r="1" spans="1:20" s="6" customFormat="1" ht="15" customHeight="1">
      <c r="A1" s="3" t="s">
        <v>96</v>
      </c>
      <c r="D1" s="7" t="s">
        <v>92</v>
      </c>
      <c r="E1" s="6" t="s">
        <v>119</v>
      </c>
      <c r="F1" s="6" t="s">
        <v>120</v>
      </c>
      <c r="G1" s="6" t="s">
        <v>121</v>
      </c>
      <c r="H1" s="6" t="s">
        <v>122</v>
      </c>
      <c r="I1" s="6" t="s">
        <v>119</v>
      </c>
      <c r="J1" s="6" t="s">
        <v>120</v>
      </c>
      <c r="K1" s="6" t="s">
        <v>121</v>
      </c>
      <c r="L1" s="6" t="s">
        <v>122</v>
      </c>
      <c r="M1" s="6" t="s">
        <v>119</v>
      </c>
      <c r="N1" s="6" t="s">
        <v>120</v>
      </c>
      <c r="O1" s="6" t="s">
        <v>121</v>
      </c>
      <c r="P1" s="6" t="s">
        <v>122</v>
      </c>
      <c r="Q1" s="6" t="s">
        <v>119</v>
      </c>
      <c r="R1" s="6" t="s">
        <v>120</v>
      </c>
      <c r="S1" s="6" t="s">
        <v>121</v>
      </c>
      <c r="T1" s="6" t="s">
        <v>122</v>
      </c>
    </row>
    <row r="2" spans="5:20" s="6" customFormat="1" ht="15" customHeight="1">
      <c r="E2" s="6" t="s">
        <v>79</v>
      </c>
      <c r="F2" s="6" t="s">
        <v>79</v>
      </c>
      <c r="G2" s="6" t="s">
        <v>79</v>
      </c>
      <c r="H2" s="6" t="s">
        <v>79</v>
      </c>
      <c r="I2" s="6" t="s">
        <v>86</v>
      </c>
      <c r="J2" s="6" t="s">
        <v>86</v>
      </c>
      <c r="K2" s="6" t="s">
        <v>86</v>
      </c>
      <c r="L2" s="6" t="s">
        <v>86</v>
      </c>
      <c r="M2" s="6" t="s">
        <v>87</v>
      </c>
      <c r="N2" s="6" t="s">
        <v>87</v>
      </c>
      <c r="O2" s="6" t="s">
        <v>87</v>
      </c>
      <c r="P2" s="6" t="s">
        <v>87</v>
      </c>
      <c r="Q2" s="6" t="s">
        <v>88</v>
      </c>
      <c r="R2" s="6" t="s">
        <v>88</v>
      </c>
      <c r="S2" s="6" t="s">
        <v>88</v>
      </c>
      <c r="T2" s="6" t="s">
        <v>88</v>
      </c>
    </row>
    <row r="3" spans="1:17" s="5" customFormat="1" ht="15" customHeight="1">
      <c r="A3" s="3" t="s">
        <v>57</v>
      </c>
      <c r="B3" s="4"/>
      <c r="C3" s="4"/>
      <c r="D3" s="8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0" s="71" customFormat="1" ht="15" customHeight="1">
      <c r="A4" s="3"/>
      <c r="B4" s="4" t="s">
        <v>95</v>
      </c>
      <c r="C4" s="4"/>
      <c r="D4" s="9" t="s">
        <v>91</v>
      </c>
      <c r="E4" s="70">
        <f>'Staffing Plan'!Z12</f>
        <v>184000</v>
      </c>
      <c r="F4" s="70">
        <f>'Staffing Plan'!AA12</f>
        <v>334937.5</v>
      </c>
      <c r="G4" s="70">
        <f>'Staffing Plan'!AB12</f>
        <v>383812.5</v>
      </c>
      <c r="H4" s="70">
        <f>'Staffing Plan'!AC12</f>
        <v>449937.5</v>
      </c>
      <c r="I4" s="70">
        <f>'Staffing Plan'!AD12</f>
        <v>551362.5</v>
      </c>
      <c r="J4" s="70">
        <f>'Staffing Plan'!AE12</f>
        <v>684250</v>
      </c>
      <c r="K4" s="70">
        <f>'Staffing Plan'!AF12</f>
        <v>747175</v>
      </c>
      <c r="L4" s="70">
        <f>'Staffing Plan'!AG12</f>
        <v>864075</v>
      </c>
      <c r="M4" s="70">
        <f>'Staffing Plan'!AH12</f>
        <v>1042187.5</v>
      </c>
      <c r="N4" s="70">
        <f>'Staffing Plan'!AI12</f>
        <v>1166812.5</v>
      </c>
      <c r="O4" s="70">
        <f>'Staffing Plan'!AJ12</f>
        <v>1335150</v>
      </c>
      <c r="P4" s="70">
        <f>'Staffing Plan'!AK12</f>
        <v>1467200</v>
      </c>
      <c r="Q4" s="70">
        <f>'Staffing Plan'!AL12</f>
        <v>1664162.5</v>
      </c>
      <c r="R4" s="70">
        <f>'Staffing Plan'!AM12</f>
        <v>1803937.5</v>
      </c>
      <c r="S4" s="70">
        <f>'Staffing Plan'!AN12</f>
        <v>1989925</v>
      </c>
      <c r="T4" s="70">
        <f>'Staffing Plan'!AO12</f>
        <v>2239637.5000000005</v>
      </c>
    </row>
    <row r="5" spans="1:20" ht="15" customHeight="1">
      <c r="A5" s="3"/>
      <c r="B5" s="4" t="s">
        <v>129</v>
      </c>
      <c r="C5" s="61">
        <v>2000</v>
      </c>
      <c r="D5" s="40" t="s">
        <v>107</v>
      </c>
      <c r="E5" s="31">
        <f>'Staffing Plan'!E12*$C5*3</f>
        <v>36000</v>
      </c>
      <c r="F5" s="31">
        <f>'Staffing Plan'!F12*$C5*3</f>
        <v>72000</v>
      </c>
      <c r="G5" s="31">
        <f>'Staffing Plan'!G12*$C5*3</f>
        <v>84000</v>
      </c>
      <c r="H5" s="31">
        <f>'Staffing Plan'!H12*$C5*3</f>
        <v>102000</v>
      </c>
      <c r="I5" s="31">
        <f>'Staffing Plan'!I12*$C5*3</f>
        <v>120000</v>
      </c>
      <c r="J5" s="31">
        <f>'Staffing Plan'!J12*$C5*3</f>
        <v>150000</v>
      </c>
      <c r="K5" s="31">
        <f>'Staffing Plan'!K12*$C5*3</f>
        <v>162000</v>
      </c>
      <c r="L5" s="31">
        <f>'Staffing Plan'!L12*$C5*3</f>
        <v>186000</v>
      </c>
      <c r="M5" s="31">
        <f>'Staffing Plan'!M12*$C5*3</f>
        <v>222000</v>
      </c>
      <c r="N5" s="31">
        <f>'Staffing Plan'!N12*$C5*3</f>
        <v>246000</v>
      </c>
      <c r="O5" s="31">
        <f>'Staffing Plan'!O12*$C5*3</f>
        <v>276000</v>
      </c>
      <c r="P5" s="31">
        <f>'Staffing Plan'!P12*$C5*3</f>
        <v>300000</v>
      </c>
      <c r="Q5" s="31">
        <f>'Staffing Plan'!Q12*$C5*3</f>
        <v>336000</v>
      </c>
      <c r="R5" s="31">
        <f>'Staffing Plan'!R12*$C5*3</f>
        <v>360000</v>
      </c>
      <c r="S5" s="31">
        <f>'Staffing Plan'!S12*$C5*3</f>
        <v>390000</v>
      </c>
      <c r="T5" s="31">
        <f>'Staffing Plan'!T12*$C5*3</f>
        <v>432000</v>
      </c>
    </row>
    <row r="6" spans="1:20" ht="15" customHeight="1">
      <c r="A6" s="3"/>
      <c r="B6" s="4" t="s">
        <v>108</v>
      </c>
      <c r="C6" s="4"/>
      <c r="D6" s="40" t="s">
        <v>97</v>
      </c>
      <c r="E6" s="72">
        <v>10000</v>
      </c>
      <c r="F6" s="72">
        <v>20000</v>
      </c>
      <c r="G6" s="72">
        <v>30000</v>
      </c>
      <c r="H6" s="72">
        <v>40000</v>
      </c>
      <c r="I6" s="72">
        <v>60000</v>
      </c>
      <c r="J6" s="72">
        <v>80000</v>
      </c>
      <c r="K6" s="72">
        <v>100000</v>
      </c>
      <c r="L6" s="72">
        <v>120000</v>
      </c>
      <c r="M6" s="72">
        <v>150000</v>
      </c>
      <c r="N6" s="72">
        <v>200000</v>
      </c>
      <c r="O6" s="72">
        <v>250000</v>
      </c>
      <c r="P6" s="72">
        <v>30000</v>
      </c>
      <c r="Q6" s="72">
        <v>400000</v>
      </c>
      <c r="R6" s="72">
        <v>500000</v>
      </c>
      <c r="S6" s="72">
        <v>600000</v>
      </c>
      <c r="T6" s="72">
        <v>700000</v>
      </c>
    </row>
    <row r="7" spans="2:20" s="3" customFormat="1" ht="15" customHeight="1">
      <c r="B7" s="6" t="s">
        <v>105</v>
      </c>
      <c r="C7" s="6"/>
      <c r="D7" s="37" t="s">
        <v>83</v>
      </c>
      <c r="E7" s="73">
        <f>SUM(E4:E6)</f>
        <v>230000</v>
      </c>
      <c r="F7" s="73">
        <f aca="true" t="shared" si="0" ref="F7:T7">SUM(F4:F6)</f>
        <v>426937.5</v>
      </c>
      <c r="G7" s="73">
        <f t="shared" si="0"/>
        <v>497812.5</v>
      </c>
      <c r="H7" s="73">
        <f t="shared" si="0"/>
        <v>591937.5</v>
      </c>
      <c r="I7" s="73">
        <f t="shared" si="0"/>
        <v>731362.5</v>
      </c>
      <c r="J7" s="73">
        <f t="shared" si="0"/>
        <v>914250</v>
      </c>
      <c r="K7" s="73">
        <f t="shared" si="0"/>
        <v>1009175</v>
      </c>
      <c r="L7" s="73">
        <f t="shared" si="0"/>
        <v>1170075</v>
      </c>
      <c r="M7" s="73">
        <f t="shared" si="0"/>
        <v>1414187.5</v>
      </c>
      <c r="N7" s="73">
        <f t="shared" si="0"/>
        <v>1612812.5</v>
      </c>
      <c r="O7" s="73">
        <f t="shared" si="0"/>
        <v>1861150</v>
      </c>
      <c r="P7" s="73">
        <f t="shared" si="0"/>
        <v>1797200</v>
      </c>
      <c r="Q7" s="73">
        <f t="shared" si="0"/>
        <v>2400162.5</v>
      </c>
      <c r="R7" s="73">
        <f t="shared" si="0"/>
        <v>2663937.5</v>
      </c>
      <c r="S7" s="73">
        <f t="shared" si="0"/>
        <v>2979925</v>
      </c>
      <c r="T7" s="73">
        <f t="shared" si="0"/>
        <v>3371637.5000000005</v>
      </c>
    </row>
    <row r="8" spans="1:20" s="5" customFormat="1" ht="15" customHeight="1">
      <c r="A8" s="3"/>
      <c r="B8" s="4"/>
      <c r="C8" s="4"/>
      <c r="D8" s="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5" customFormat="1" ht="15" customHeight="1">
      <c r="A9" s="3" t="s">
        <v>63</v>
      </c>
      <c r="B9" s="4"/>
      <c r="C9" s="4"/>
      <c r="D9" s="8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12" customFormat="1" ht="15" customHeight="1">
      <c r="A10" s="3"/>
      <c r="B10" s="4" t="s">
        <v>95</v>
      </c>
      <c r="C10" s="4"/>
      <c r="D10" s="9" t="s">
        <v>91</v>
      </c>
      <c r="E10" s="10">
        <f>'Staffing Plan'!Z19</f>
        <v>107812.5</v>
      </c>
      <c r="F10" s="10">
        <f>'Staffing Plan'!AA19</f>
        <v>107812.5</v>
      </c>
      <c r="G10" s="10">
        <f>'Staffing Plan'!AB19</f>
        <v>163875</v>
      </c>
      <c r="H10" s="10">
        <f>'Staffing Plan'!AC19</f>
        <v>186875</v>
      </c>
      <c r="I10" s="10">
        <f>'Staffing Plan'!AD19</f>
        <v>247162.5</v>
      </c>
      <c r="J10" s="10">
        <f>'Staffing Plan'!AE19</f>
        <v>251387.5</v>
      </c>
      <c r="K10" s="10">
        <f>'Staffing Plan'!AF19</f>
        <v>316112.5</v>
      </c>
      <c r="L10" s="10">
        <f>'Staffing Plan'!AG19</f>
        <v>321337.5</v>
      </c>
      <c r="M10" s="10">
        <f>'Staffing Plan'!AH19</f>
        <v>387500</v>
      </c>
      <c r="N10" s="10">
        <f>'Staffing Plan'!AI19</f>
        <v>419100</v>
      </c>
      <c r="O10" s="10">
        <f>'Staffing Plan'!AJ19</f>
        <v>449887.5</v>
      </c>
      <c r="P10" s="10">
        <f>'Staffing Plan'!AK19</f>
        <v>456862.5</v>
      </c>
      <c r="Q10" s="10">
        <f>'Staffing Plan'!AL19</f>
        <v>555275</v>
      </c>
      <c r="R10" s="10">
        <f>'Staffing Plan'!AM19</f>
        <v>644625</v>
      </c>
      <c r="S10" s="10">
        <f>'Staffing Plan'!AN19</f>
        <v>789462.5</v>
      </c>
      <c r="T10" s="10">
        <f>'Staffing Plan'!AO19</f>
        <v>884387.5000000001</v>
      </c>
    </row>
    <row r="11" spans="1:20" ht="15" customHeight="1">
      <c r="A11" s="3"/>
      <c r="B11" s="4" t="s">
        <v>109</v>
      </c>
      <c r="C11" s="4"/>
      <c r="D11" s="40" t="s">
        <v>97</v>
      </c>
      <c r="E11" s="31">
        <v>5000</v>
      </c>
      <c r="F11" s="31">
        <v>5000</v>
      </c>
      <c r="G11" s="31">
        <v>10000</v>
      </c>
      <c r="H11" s="31">
        <v>10000</v>
      </c>
      <c r="I11" s="31">
        <v>20000</v>
      </c>
      <c r="J11" s="31">
        <v>20000</v>
      </c>
      <c r="K11" s="31">
        <v>40000</v>
      </c>
      <c r="L11" s="31">
        <v>60000</v>
      </c>
      <c r="M11" s="31">
        <v>80000</v>
      </c>
      <c r="N11" s="31">
        <v>80000</v>
      </c>
      <c r="O11" s="31">
        <v>100000</v>
      </c>
      <c r="P11" s="31">
        <v>100000</v>
      </c>
      <c r="Q11" s="31">
        <v>120000</v>
      </c>
      <c r="R11" s="31">
        <v>120000</v>
      </c>
      <c r="S11" s="31">
        <v>140000</v>
      </c>
      <c r="T11" s="31">
        <v>140000</v>
      </c>
    </row>
    <row r="12" spans="1:20" ht="15" customHeight="1">
      <c r="A12" s="3"/>
      <c r="B12" s="4" t="s">
        <v>74</v>
      </c>
      <c r="C12" s="4"/>
      <c r="D12" s="40" t="s">
        <v>97</v>
      </c>
      <c r="E12" s="31">
        <v>0</v>
      </c>
      <c r="F12" s="31">
        <v>25000</v>
      </c>
      <c r="G12" s="31">
        <v>0</v>
      </c>
      <c r="H12" s="31">
        <v>50000</v>
      </c>
      <c r="I12" s="31">
        <v>0</v>
      </c>
      <c r="J12" s="31">
        <v>100000</v>
      </c>
      <c r="K12" s="31">
        <v>0</v>
      </c>
      <c r="L12" s="31">
        <v>150000</v>
      </c>
      <c r="M12" s="31">
        <v>0</v>
      </c>
      <c r="N12" s="31">
        <v>200000</v>
      </c>
      <c r="O12" s="31">
        <v>0</v>
      </c>
      <c r="P12" s="31">
        <v>225000</v>
      </c>
      <c r="Q12" s="31">
        <v>0</v>
      </c>
      <c r="R12" s="31">
        <v>250000</v>
      </c>
      <c r="S12" s="31">
        <v>0</v>
      </c>
      <c r="T12" s="31">
        <v>300000</v>
      </c>
    </row>
    <row r="13" spans="1:20" ht="15" customHeight="1">
      <c r="A13" s="3"/>
      <c r="B13" s="4" t="s">
        <v>108</v>
      </c>
      <c r="C13" s="4"/>
      <c r="D13" s="40" t="s">
        <v>97</v>
      </c>
      <c r="E13" s="72">
        <v>20000</v>
      </c>
      <c r="F13" s="72">
        <v>20000</v>
      </c>
      <c r="G13" s="72">
        <v>40000</v>
      </c>
      <c r="H13" s="72">
        <v>60000</v>
      </c>
      <c r="I13" s="72">
        <v>100000</v>
      </c>
      <c r="J13" s="72">
        <v>125000</v>
      </c>
      <c r="K13" s="72">
        <v>150000</v>
      </c>
      <c r="L13" s="72">
        <v>175000</v>
      </c>
      <c r="M13" s="72">
        <v>200000</v>
      </c>
      <c r="N13" s="72">
        <v>225000</v>
      </c>
      <c r="O13" s="72">
        <v>250000</v>
      </c>
      <c r="P13" s="72">
        <v>275000</v>
      </c>
      <c r="Q13" s="72">
        <v>300000</v>
      </c>
      <c r="R13" s="72">
        <v>325000</v>
      </c>
      <c r="S13" s="72">
        <v>350000</v>
      </c>
      <c r="T13" s="72">
        <v>350000</v>
      </c>
    </row>
    <row r="14" spans="2:20" s="3" customFormat="1" ht="15" customHeight="1">
      <c r="B14" s="6" t="s">
        <v>106</v>
      </c>
      <c r="C14" s="6"/>
      <c r="D14" s="37" t="s">
        <v>83</v>
      </c>
      <c r="E14" s="74">
        <f>SUM(E10:E13)</f>
        <v>132812.5</v>
      </c>
      <c r="F14" s="74">
        <f aca="true" t="shared" si="1" ref="F14:T14">SUM(F10:F13)</f>
        <v>157812.5</v>
      </c>
      <c r="G14" s="74">
        <f t="shared" si="1"/>
        <v>213875</v>
      </c>
      <c r="H14" s="74">
        <f t="shared" si="1"/>
        <v>306875</v>
      </c>
      <c r="I14" s="74">
        <f t="shared" si="1"/>
        <v>367162.5</v>
      </c>
      <c r="J14" s="74">
        <f t="shared" si="1"/>
        <v>496387.5</v>
      </c>
      <c r="K14" s="74">
        <f t="shared" si="1"/>
        <v>506112.5</v>
      </c>
      <c r="L14" s="74">
        <f t="shared" si="1"/>
        <v>706337.5</v>
      </c>
      <c r="M14" s="74">
        <f t="shared" si="1"/>
        <v>667500</v>
      </c>
      <c r="N14" s="74">
        <f t="shared" si="1"/>
        <v>924100</v>
      </c>
      <c r="O14" s="74">
        <f t="shared" si="1"/>
        <v>799887.5</v>
      </c>
      <c r="P14" s="74">
        <f t="shared" si="1"/>
        <v>1056862.5</v>
      </c>
      <c r="Q14" s="74">
        <f t="shared" si="1"/>
        <v>975275</v>
      </c>
      <c r="R14" s="74">
        <f t="shared" si="1"/>
        <v>1339625</v>
      </c>
      <c r="S14" s="74">
        <f t="shared" si="1"/>
        <v>1279462.5</v>
      </c>
      <c r="T14" s="74">
        <f t="shared" si="1"/>
        <v>1674387.5</v>
      </c>
    </row>
    <row r="15" spans="1:20" s="5" customFormat="1" ht="15" customHeight="1">
      <c r="A15" s="3"/>
      <c r="B15" s="4"/>
      <c r="C15" s="4"/>
      <c r="D15" s="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5" customFormat="1" ht="15" customHeight="1">
      <c r="A16" s="3" t="s">
        <v>67</v>
      </c>
      <c r="B16" s="4"/>
      <c r="C16" s="4"/>
      <c r="D16" s="8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12" customFormat="1" ht="15" customHeight="1">
      <c r="A17" s="3"/>
      <c r="B17" s="4" t="s">
        <v>95</v>
      </c>
      <c r="C17" s="4"/>
      <c r="D17" s="9" t="s">
        <v>91</v>
      </c>
      <c r="E17" s="10">
        <f>'Staffing Plan'!Z26</f>
        <v>136562.5</v>
      </c>
      <c r="F17" s="10">
        <f>'Staffing Plan'!AA26</f>
        <v>201250</v>
      </c>
      <c r="G17" s="10">
        <f>'Staffing Plan'!AB26</f>
        <v>345000</v>
      </c>
      <c r="H17" s="10">
        <f>'Staffing Plan'!AC26</f>
        <v>409687.49999999994</v>
      </c>
      <c r="I17" s="10">
        <f>'Staffing Plan'!AD26</f>
        <v>497250</v>
      </c>
      <c r="J17" s="10">
        <f>'Staffing Plan'!AE26</f>
        <v>639625</v>
      </c>
      <c r="K17" s="10">
        <f>'Staffing Plan'!AF26</f>
        <v>665500</v>
      </c>
      <c r="L17" s="10">
        <f>'Staffing Plan'!AG26</f>
        <v>814875</v>
      </c>
      <c r="M17" s="10">
        <f>'Staffing Plan'!AH26</f>
        <v>843750</v>
      </c>
      <c r="N17" s="10">
        <f>'Staffing Plan'!AI26</f>
        <v>1000125</v>
      </c>
      <c r="O17" s="10">
        <f>'Staffing Plan'!AJ26</f>
        <v>1177125</v>
      </c>
      <c r="P17" s="10">
        <f>'Staffing Plan'!AK26</f>
        <v>1342750</v>
      </c>
      <c r="Q17" s="10">
        <f>'Staffing Plan'!AL26</f>
        <v>1529500</v>
      </c>
      <c r="R17" s="10">
        <f>'Staffing Plan'!AM26</f>
        <v>1704375</v>
      </c>
      <c r="S17" s="10">
        <f>'Staffing Plan'!AN26</f>
        <v>1900875</v>
      </c>
      <c r="T17" s="10">
        <f>'Staffing Plan'!AO26</f>
        <v>2085000</v>
      </c>
    </row>
    <row r="18" spans="1:20" ht="15" customHeight="1">
      <c r="A18" s="3"/>
      <c r="B18" s="4" t="s">
        <v>126</v>
      </c>
      <c r="C18" s="61">
        <v>3000</v>
      </c>
      <c r="D18" s="75" t="s">
        <v>107</v>
      </c>
      <c r="E18" s="31">
        <f>'Staffing Plan'!E23*$C18*3</f>
        <v>9000</v>
      </c>
      <c r="F18" s="31">
        <f>'Staffing Plan'!F23*$C18*3</f>
        <v>18000</v>
      </c>
      <c r="G18" s="31">
        <f>'Staffing Plan'!G23*$C18*3</f>
        <v>36000</v>
      </c>
      <c r="H18" s="31">
        <f>'Staffing Plan'!H23*$C18*3</f>
        <v>45000</v>
      </c>
      <c r="I18" s="31">
        <f>'Staffing Plan'!I23*$C18*3</f>
        <v>54000</v>
      </c>
      <c r="J18" s="31">
        <f>'Staffing Plan'!J23*$C18*3</f>
        <v>72000</v>
      </c>
      <c r="K18" s="31">
        <f>'Staffing Plan'!K23*$C18*3</f>
        <v>72000</v>
      </c>
      <c r="L18" s="31">
        <f>'Staffing Plan'!L23*$C18*3</f>
        <v>90000</v>
      </c>
      <c r="M18" s="31">
        <f>'Staffing Plan'!M23*$C18*3</f>
        <v>90000</v>
      </c>
      <c r="N18" s="31">
        <f>'Staffing Plan'!N23*$C18*3</f>
        <v>108000</v>
      </c>
      <c r="O18" s="31">
        <f>'Staffing Plan'!O23*$C18*3</f>
        <v>126000</v>
      </c>
      <c r="P18" s="31">
        <f>'Staffing Plan'!P23*$C18*3</f>
        <v>144000</v>
      </c>
      <c r="Q18" s="31">
        <f>'Staffing Plan'!Q23*$C18*3</f>
        <v>162000</v>
      </c>
      <c r="R18" s="31">
        <f>'Staffing Plan'!R23*$C18*3</f>
        <v>180000</v>
      </c>
      <c r="S18" s="31">
        <f>'Staffing Plan'!S23*$C18*3</f>
        <v>198000</v>
      </c>
      <c r="T18" s="31">
        <f>'Staffing Plan'!T23*$C18*3</f>
        <v>216000</v>
      </c>
    </row>
    <row r="19" spans="1:20" s="80" customFormat="1" ht="15" customHeight="1">
      <c r="A19" s="76"/>
      <c r="B19" s="77" t="s">
        <v>137</v>
      </c>
      <c r="C19" s="78">
        <v>0.03</v>
      </c>
      <c r="D19" s="75" t="s">
        <v>107</v>
      </c>
      <c r="E19" s="79">
        <f>'Sales Plan'!E18*$C19</f>
        <v>0</v>
      </c>
      <c r="F19" s="79">
        <f>'Sales Plan'!F18*$C19</f>
        <v>6000</v>
      </c>
      <c r="G19" s="79">
        <f>'Sales Plan'!G18*$C19</f>
        <v>15000</v>
      </c>
      <c r="H19" s="79">
        <f>'Sales Plan'!H18*$C19</f>
        <v>30000</v>
      </c>
      <c r="I19" s="79">
        <f>'Sales Plan'!I18*$C19</f>
        <v>52200</v>
      </c>
      <c r="J19" s="79">
        <f>'Sales Plan'!J18*$C19</f>
        <v>78300</v>
      </c>
      <c r="K19" s="79">
        <f>'Sales Plan'!K18*$C19</f>
        <v>104400</v>
      </c>
      <c r="L19" s="79">
        <f>'Sales Plan'!L18*$C19</f>
        <v>130500</v>
      </c>
      <c r="M19" s="79">
        <f>'Sales Plan'!M18*$C19</f>
        <v>162300</v>
      </c>
      <c r="N19" s="79">
        <f>'Sales Plan'!N18*$C19</f>
        <v>222000</v>
      </c>
      <c r="O19" s="79">
        <f>'Sales Plan'!O18*$C19</f>
        <v>294000</v>
      </c>
      <c r="P19" s="79">
        <f>'Sales Plan'!P18*$C19</f>
        <v>366000</v>
      </c>
      <c r="Q19" s="79">
        <f>'Sales Plan'!Q18*$C19</f>
        <v>369000</v>
      </c>
      <c r="R19" s="79">
        <f>'Sales Plan'!R18*$C19</f>
        <v>426000</v>
      </c>
      <c r="S19" s="79">
        <f>'Sales Plan'!S18*$C19</f>
        <v>471000</v>
      </c>
      <c r="T19" s="79">
        <f>'Sales Plan'!T18*$C19</f>
        <v>540000</v>
      </c>
    </row>
    <row r="20" spans="1:20" ht="15" customHeight="1">
      <c r="A20" s="3"/>
      <c r="B20" s="4" t="s">
        <v>108</v>
      </c>
      <c r="C20" s="4"/>
      <c r="D20" s="40" t="s">
        <v>97</v>
      </c>
      <c r="E20" s="72">
        <v>15000</v>
      </c>
      <c r="F20" s="72">
        <v>15000</v>
      </c>
      <c r="G20" s="72">
        <v>15000</v>
      </c>
      <c r="H20" s="72">
        <v>20000</v>
      </c>
      <c r="I20" s="72">
        <v>20000</v>
      </c>
      <c r="J20" s="72">
        <v>20000</v>
      </c>
      <c r="K20" s="72">
        <v>30000</v>
      </c>
      <c r="L20" s="72">
        <v>30000</v>
      </c>
      <c r="M20" s="72">
        <v>30000</v>
      </c>
      <c r="N20" s="72">
        <v>30000</v>
      </c>
      <c r="O20" s="72">
        <v>40000</v>
      </c>
      <c r="P20" s="72">
        <v>40000</v>
      </c>
      <c r="Q20" s="72">
        <v>50000</v>
      </c>
      <c r="R20" s="72">
        <v>50000</v>
      </c>
      <c r="S20" s="72">
        <v>60000</v>
      </c>
      <c r="T20" s="72">
        <v>60000</v>
      </c>
    </row>
    <row r="21" spans="2:20" s="3" customFormat="1" ht="15" customHeight="1">
      <c r="B21" s="6" t="s">
        <v>70</v>
      </c>
      <c r="C21" s="6"/>
      <c r="D21" s="37" t="s">
        <v>83</v>
      </c>
      <c r="E21" s="74">
        <f>SUM(E17:E20)</f>
        <v>160562.5</v>
      </c>
      <c r="F21" s="74">
        <f aca="true" t="shared" si="2" ref="F21:T21">SUM(F17:F20)</f>
        <v>240250</v>
      </c>
      <c r="G21" s="74">
        <f t="shared" si="2"/>
        <v>411000</v>
      </c>
      <c r="H21" s="74">
        <f t="shared" si="2"/>
        <v>504687.49999999994</v>
      </c>
      <c r="I21" s="74">
        <f t="shared" si="2"/>
        <v>623450</v>
      </c>
      <c r="J21" s="74">
        <f t="shared" si="2"/>
        <v>809925</v>
      </c>
      <c r="K21" s="74">
        <f t="shared" si="2"/>
        <v>871900</v>
      </c>
      <c r="L21" s="74">
        <f t="shared" si="2"/>
        <v>1065375</v>
      </c>
      <c r="M21" s="74">
        <f t="shared" si="2"/>
        <v>1126050</v>
      </c>
      <c r="N21" s="74">
        <f t="shared" si="2"/>
        <v>1360125</v>
      </c>
      <c r="O21" s="74">
        <f t="shared" si="2"/>
        <v>1637125</v>
      </c>
      <c r="P21" s="74">
        <f t="shared" si="2"/>
        <v>1892750</v>
      </c>
      <c r="Q21" s="74">
        <f t="shared" si="2"/>
        <v>2110500</v>
      </c>
      <c r="R21" s="74">
        <f t="shared" si="2"/>
        <v>2360375</v>
      </c>
      <c r="S21" s="74">
        <f t="shared" si="2"/>
        <v>2629875</v>
      </c>
      <c r="T21" s="74">
        <f t="shared" si="2"/>
        <v>2901000</v>
      </c>
    </row>
    <row r="22" spans="1:20" s="5" customFormat="1" ht="15" customHeight="1">
      <c r="A22" s="3"/>
      <c r="B22" s="4"/>
      <c r="C22" s="4"/>
      <c r="D22" s="8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5" customFormat="1" ht="15" customHeight="1">
      <c r="A23" s="3" t="s">
        <v>71</v>
      </c>
      <c r="B23" s="4"/>
      <c r="C23" s="4"/>
      <c r="D23" s="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12" customFormat="1" ht="15" customHeight="1">
      <c r="A24" s="3"/>
      <c r="B24" s="4" t="s">
        <v>95</v>
      </c>
      <c r="C24" s="4"/>
      <c r="D24" s="9" t="s">
        <v>91</v>
      </c>
      <c r="E24" s="10">
        <f>'Staffing Plan'!Z34</f>
        <v>107812.5</v>
      </c>
      <c r="F24" s="10">
        <f>'Staffing Plan'!AA34</f>
        <v>127937.5</v>
      </c>
      <c r="G24" s="10">
        <f>'Staffing Plan'!AB34</f>
        <v>185437.5</v>
      </c>
      <c r="H24" s="10">
        <f>'Staffing Plan'!AC34</f>
        <v>185437.5</v>
      </c>
      <c r="I24" s="10">
        <f>'Staffing Plan'!AD34</f>
        <v>282262.5</v>
      </c>
      <c r="J24" s="10">
        <f>'Staffing Plan'!AE34</f>
        <v>287087.5</v>
      </c>
      <c r="K24" s="10">
        <f>'Staffing Plan'!AF34</f>
        <v>331237.5</v>
      </c>
      <c r="L24" s="10">
        <f>'Staffing Plan'!AG34</f>
        <v>336712.5</v>
      </c>
      <c r="M24" s="10">
        <f>'Staffing Plan'!AH34</f>
        <v>404687.5</v>
      </c>
      <c r="N24" s="10">
        <f>'Staffing Plan'!AI34</f>
        <v>411162.5</v>
      </c>
      <c r="O24" s="10">
        <f>'Staffing Plan'!AJ34</f>
        <v>482137.5</v>
      </c>
      <c r="P24" s="10">
        <f>'Staffing Plan'!AK34</f>
        <v>535462.5</v>
      </c>
      <c r="Q24" s="10">
        <f>'Staffing Plan'!AL34</f>
        <v>583537.5</v>
      </c>
      <c r="R24" s="10">
        <f>'Staffing Plan'!AM34</f>
        <v>680062.5</v>
      </c>
      <c r="S24" s="10">
        <f>'Staffing Plan'!AN34</f>
        <v>827137.5</v>
      </c>
      <c r="T24" s="10">
        <f>'Staffing Plan'!AO34</f>
        <v>880912.5</v>
      </c>
    </row>
    <row r="25" spans="1:20" s="12" customFormat="1" ht="15" customHeight="1">
      <c r="A25" s="3"/>
      <c r="B25" s="4" t="s">
        <v>40</v>
      </c>
      <c r="C25" s="61"/>
      <c r="D25" s="9"/>
      <c r="E25" s="10">
        <v>30000</v>
      </c>
      <c r="F25" s="10">
        <v>30000</v>
      </c>
      <c r="G25" s="10">
        <v>30000</v>
      </c>
      <c r="H25" s="10">
        <v>30000</v>
      </c>
      <c r="I25" s="10">
        <v>50000</v>
      </c>
      <c r="J25" s="10">
        <v>50000</v>
      </c>
      <c r="K25" s="10">
        <v>50000</v>
      </c>
      <c r="L25" s="10">
        <v>50000</v>
      </c>
      <c r="M25" s="10">
        <v>75000</v>
      </c>
      <c r="N25" s="10">
        <v>75000</v>
      </c>
      <c r="O25" s="10">
        <v>75000</v>
      </c>
      <c r="P25" s="10">
        <v>75000</v>
      </c>
      <c r="Q25" s="10">
        <v>100000</v>
      </c>
      <c r="R25" s="10">
        <v>100000</v>
      </c>
      <c r="S25" s="10">
        <v>100000</v>
      </c>
      <c r="T25" s="10">
        <v>100000</v>
      </c>
    </row>
    <row r="26" spans="1:20" s="12" customFormat="1" ht="15" customHeight="1">
      <c r="A26" s="3"/>
      <c r="B26" s="4" t="s">
        <v>41</v>
      </c>
      <c r="C26" s="61"/>
      <c r="D26" s="9" t="s">
        <v>42</v>
      </c>
      <c r="E26" s="10">
        <f>E41</f>
        <v>50000</v>
      </c>
      <c r="F26" s="10">
        <f aca="true" t="shared" si="3" ref="F26:P26">F41</f>
        <v>50000</v>
      </c>
      <c r="G26" s="10">
        <f t="shared" si="3"/>
        <v>50000</v>
      </c>
      <c r="H26" s="10">
        <f t="shared" si="3"/>
        <v>50000</v>
      </c>
      <c r="I26" s="10">
        <f t="shared" si="3"/>
        <v>100000</v>
      </c>
      <c r="J26" s="10">
        <f t="shared" si="3"/>
        <v>100000</v>
      </c>
      <c r="K26" s="10">
        <f t="shared" si="3"/>
        <v>100000</v>
      </c>
      <c r="L26" s="10">
        <f t="shared" si="3"/>
        <v>100000</v>
      </c>
      <c r="M26" s="10">
        <f t="shared" si="3"/>
        <v>250000</v>
      </c>
      <c r="N26" s="10">
        <f t="shared" si="3"/>
        <v>250000</v>
      </c>
      <c r="O26" s="10">
        <f t="shared" si="3"/>
        <v>250000</v>
      </c>
      <c r="P26" s="10">
        <f t="shared" si="3"/>
        <v>250000</v>
      </c>
      <c r="Q26" s="10">
        <v>300000</v>
      </c>
      <c r="R26" s="10">
        <v>300000</v>
      </c>
      <c r="S26" s="10">
        <v>300000</v>
      </c>
      <c r="T26" s="10">
        <v>300000</v>
      </c>
    </row>
    <row r="27" spans="1:20" ht="15" customHeight="1">
      <c r="A27" s="3"/>
      <c r="B27" s="4" t="s">
        <v>43</v>
      </c>
      <c r="C27" s="61">
        <v>200</v>
      </c>
      <c r="D27" s="40" t="s">
        <v>107</v>
      </c>
      <c r="E27" s="31">
        <f>'Staffing Plan'!E36*$C27*3</f>
        <v>10200</v>
      </c>
      <c r="F27" s="31">
        <f>'Staffing Plan'!F36*$C27*3</f>
        <v>15600</v>
      </c>
      <c r="G27" s="31">
        <f>'Staffing Plan'!G36*$C27*3</f>
        <v>22800</v>
      </c>
      <c r="H27" s="31">
        <f>'Staffing Plan'!H36*$C27*3</f>
        <v>26400</v>
      </c>
      <c r="I27" s="31">
        <f>'Staffing Plan'!I36*$C27*3</f>
        <v>33600</v>
      </c>
      <c r="J27" s="31">
        <f>'Staffing Plan'!J36*$C27*3</f>
        <v>39000</v>
      </c>
      <c r="K27" s="31">
        <f>'Staffing Plan'!K36*$C27*3</f>
        <v>43200</v>
      </c>
      <c r="L27" s="31">
        <f>'Staffing Plan'!L36*$C27*3</f>
        <v>48000</v>
      </c>
      <c r="M27" s="31">
        <f>'Staffing Plan'!M36*$C27*3</f>
        <v>55200</v>
      </c>
      <c r="N27" s="31">
        <f>'Staffing Plan'!N36*$C27*3</f>
        <v>60600</v>
      </c>
      <c r="O27" s="31">
        <f>'Staffing Plan'!O36*$C27*3</f>
        <v>69000</v>
      </c>
      <c r="P27" s="31">
        <f>'Staffing Plan'!P36*$C27*3</f>
        <v>75000</v>
      </c>
      <c r="Q27" s="31">
        <f>'Staffing Plan'!Q36*$C27*3</f>
        <v>84600</v>
      </c>
      <c r="R27" s="31">
        <f>'Staffing Plan'!R36*$C27*3</f>
        <v>93000</v>
      </c>
      <c r="S27" s="31">
        <f>'Staffing Plan'!S36*200</f>
        <v>35000</v>
      </c>
      <c r="T27" s="31">
        <f>'Staffing Plan'!T36*$C27*3</f>
        <v>114000</v>
      </c>
    </row>
    <row r="28" spans="1:20" ht="15" customHeight="1">
      <c r="A28" s="3"/>
      <c r="B28" s="4" t="s">
        <v>108</v>
      </c>
      <c r="C28" s="4"/>
      <c r="D28" s="40" t="s">
        <v>97</v>
      </c>
      <c r="E28" s="72">
        <v>15000</v>
      </c>
      <c r="F28" s="72">
        <v>20000</v>
      </c>
      <c r="G28" s="72">
        <v>25000</v>
      </c>
      <c r="H28" s="72">
        <v>30000</v>
      </c>
      <c r="I28" s="72">
        <v>40000</v>
      </c>
      <c r="J28" s="72">
        <v>40000</v>
      </c>
      <c r="K28" s="72">
        <v>40000</v>
      </c>
      <c r="L28" s="72">
        <v>40000</v>
      </c>
      <c r="M28" s="72">
        <v>50000</v>
      </c>
      <c r="N28" s="72">
        <v>50000</v>
      </c>
      <c r="O28" s="72">
        <v>50000</v>
      </c>
      <c r="P28" s="72">
        <v>50000</v>
      </c>
      <c r="Q28" s="72">
        <v>60000</v>
      </c>
      <c r="R28" s="72">
        <v>60000</v>
      </c>
      <c r="S28" s="72">
        <v>60000</v>
      </c>
      <c r="T28" s="72">
        <v>60000</v>
      </c>
    </row>
    <row r="29" spans="2:20" s="3" customFormat="1" ht="15" customHeight="1">
      <c r="B29" s="6" t="s">
        <v>73</v>
      </c>
      <c r="C29" s="6"/>
      <c r="D29" s="37" t="s">
        <v>83</v>
      </c>
      <c r="E29" s="74">
        <f>SUM(E24:E28)</f>
        <v>213012.5</v>
      </c>
      <c r="F29" s="74">
        <f aca="true" t="shared" si="4" ref="F29:T29">SUM(F24:F28)</f>
        <v>243537.5</v>
      </c>
      <c r="G29" s="74">
        <f t="shared" si="4"/>
        <v>313237.5</v>
      </c>
      <c r="H29" s="74">
        <f t="shared" si="4"/>
        <v>321837.5</v>
      </c>
      <c r="I29" s="74">
        <f t="shared" si="4"/>
        <v>505862.5</v>
      </c>
      <c r="J29" s="74">
        <f t="shared" si="4"/>
        <v>516087.5</v>
      </c>
      <c r="K29" s="74">
        <f t="shared" si="4"/>
        <v>564437.5</v>
      </c>
      <c r="L29" s="74">
        <f t="shared" si="4"/>
        <v>574712.5</v>
      </c>
      <c r="M29" s="74">
        <f t="shared" si="4"/>
        <v>834887.5</v>
      </c>
      <c r="N29" s="74">
        <f t="shared" si="4"/>
        <v>846762.5</v>
      </c>
      <c r="O29" s="74">
        <f t="shared" si="4"/>
        <v>926137.5</v>
      </c>
      <c r="P29" s="74">
        <f t="shared" si="4"/>
        <v>985462.5</v>
      </c>
      <c r="Q29" s="74">
        <f t="shared" si="4"/>
        <v>1128137.5</v>
      </c>
      <c r="R29" s="74">
        <f t="shared" si="4"/>
        <v>1233062.5</v>
      </c>
      <c r="S29" s="74">
        <f t="shared" si="4"/>
        <v>1322137.5</v>
      </c>
      <c r="T29" s="74">
        <f t="shared" si="4"/>
        <v>1454912.5</v>
      </c>
    </row>
    <row r="30" spans="1:20" s="5" customFormat="1" ht="15" customHeight="1">
      <c r="A30" s="3"/>
      <c r="B30" s="4"/>
      <c r="C30" s="4"/>
      <c r="D30" s="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s="5" customFormat="1" ht="15" customHeight="1">
      <c r="A31" s="3" t="s">
        <v>104</v>
      </c>
      <c r="B31" s="4"/>
      <c r="C31" s="4"/>
      <c r="D31" s="8"/>
      <c r="E31" s="16">
        <f>E7+E14+E21+E29</f>
        <v>736387.5</v>
      </c>
      <c r="F31" s="16">
        <f aca="true" t="shared" si="5" ref="F31:T31">F7+F14+F21+F29</f>
        <v>1068537.5</v>
      </c>
      <c r="G31" s="16">
        <f t="shared" si="5"/>
        <v>1435925</v>
      </c>
      <c r="H31" s="16">
        <f t="shared" si="5"/>
        <v>1725337.5</v>
      </c>
      <c r="I31" s="16">
        <f t="shared" si="5"/>
        <v>2227837.5</v>
      </c>
      <c r="J31" s="16">
        <f t="shared" si="5"/>
        <v>2736650</v>
      </c>
      <c r="K31" s="16">
        <f t="shared" si="5"/>
        <v>2951625</v>
      </c>
      <c r="L31" s="16">
        <f t="shared" si="5"/>
        <v>3516500</v>
      </c>
      <c r="M31" s="16">
        <f t="shared" si="5"/>
        <v>4042625</v>
      </c>
      <c r="N31" s="16">
        <f t="shared" si="5"/>
        <v>4743800</v>
      </c>
      <c r="O31" s="16">
        <f t="shared" si="5"/>
        <v>5224300</v>
      </c>
      <c r="P31" s="16">
        <f t="shared" si="5"/>
        <v>5732275</v>
      </c>
      <c r="Q31" s="16">
        <f t="shared" si="5"/>
        <v>6614075</v>
      </c>
      <c r="R31" s="16">
        <f t="shared" si="5"/>
        <v>7597000</v>
      </c>
      <c r="S31" s="16">
        <f t="shared" si="5"/>
        <v>8211400</v>
      </c>
      <c r="T31" s="16">
        <f t="shared" si="5"/>
        <v>9401937.5</v>
      </c>
    </row>
    <row r="35" spans="1:17" s="5" customFormat="1" ht="15" customHeight="1">
      <c r="A35" s="3" t="s">
        <v>44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20" s="12" customFormat="1" ht="15" customHeight="1">
      <c r="A36" s="5"/>
      <c r="B36" s="5" t="s">
        <v>45</v>
      </c>
      <c r="C36" s="5"/>
      <c r="D36" s="9" t="s">
        <v>91</v>
      </c>
      <c r="E36" s="81">
        <f>'Staffing Plan'!E36</f>
        <v>17</v>
      </c>
      <c r="F36" s="81">
        <f>'Staffing Plan'!F36</f>
        <v>26</v>
      </c>
      <c r="G36" s="81">
        <f>'Staffing Plan'!G36</f>
        <v>38</v>
      </c>
      <c r="H36" s="81">
        <f>'Staffing Plan'!H36</f>
        <v>44</v>
      </c>
      <c r="I36" s="81">
        <f>'Staffing Plan'!I36</f>
        <v>56</v>
      </c>
      <c r="J36" s="81">
        <f>'Staffing Plan'!J36</f>
        <v>65</v>
      </c>
      <c r="K36" s="81">
        <f>'Staffing Plan'!K36</f>
        <v>72</v>
      </c>
      <c r="L36" s="81">
        <f>'Staffing Plan'!L36</f>
        <v>80</v>
      </c>
      <c r="M36" s="81">
        <f>'Staffing Plan'!M36</f>
        <v>92</v>
      </c>
      <c r="N36" s="81">
        <f>'Staffing Plan'!N36</f>
        <v>101</v>
      </c>
      <c r="O36" s="81">
        <f>'Staffing Plan'!O36</f>
        <v>115</v>
      </c>
      <c r="P36" s="81">
        <f>'Staffing Plan'!P36</f>
        <v>125</v>
      </c>
      <c r="Q36" s="81">
        <f>'Staffing Plan'!Q36</f>
        <v>141</v>
      </c>
      <c r="R36" s="81">
        <f>'Staffing Plan'!R36</f>
        <v>155</v>
      </c>
      <c r="S36" s="81">
        <f>'Staffing Plan'!S36</f>
        <v>175</v>
      </c>
      <c r="T36" s="81">
        <f>'Staffing Plan'!T36</f>
        <v>190</v>
      </c>
    </row>
    <row r="37" spans="1:20" ht="15" customHeight="1">
      <c r="A37" s="12"/>
      <c r="B37" s="12" t="s">
        <v>46</v>
      </c>
      <c r="C37" s="40">
        <v>300</v>
      </c>
      <c r="E37" s="82">
        <f aca="true" t="shared" si="6" ref="E37:T37">E36*$C37</f>
        <v>5100</v>
      </c>
      <c r="F37" s="82">
        <f t="shared" si="6"/>
        <v>7800</v>
      </c>
      <c r="G37" s="82">
        <f t="shared" si="6"/>
        <v>11400</v>
      </c>
      <c r="H37" s="82">
        <f t="shared" si="6"/>
        <v>13200</v>
      </c>
      <c r="I37" s="82">
        <f t="shared" si="6"/>
        <v>16800</v>
      </c>
      <c r="J37" s="82">
        <f t="shared" si="6"/>
        <v>19500</v>
      </c>
      <c r="K37" s="82">
        <f t="shared" si="6"/>
        <v>21600</v>
      </c>
      <c r="L37" s="82">
        <f t="shared" si="6"/>
        <v>24000</v>
      </c>
      <c r="M37" s="82">
        <f t="shared" si="6"/>
        <v>27600</v>
      </c>
      <c r="N37" s="82">
        <f t="shared" si="6"/>
        <v>30300</v>
      </c>
      <c r="O37" s="82">
        <f t="shared" si="6"/>
        <v>34500</v>
      </c>
      <c r="P37" s="82">
        <f t="shared" si="6"/>
        <v>37500</v>
      </c>
      <c r="Q37" s="82">
        <f t="shared" si="6"/>
        <v>42300</v>
      </c>
      <c r="R37" s="82">
        <f t="shared" si="6"/>
        <v>46500</v>
      </c>
      <c r="S37" s="82">
        <f t="shared" si="6"/>
        <v>52500</v>
      </c>
      <c r="T37" s="82">
        <f t="shared" si="6"/>
        <v>57000</v>
      </c>
    </row>
    <row r="38" spans="5:20" ht="15" customHeight="1"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3:20" ht="15" customHeight="1">
      <c r="C39" s="46" t="s">
        <v>47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2:20" ht="15" customHeight="1">
      <c r="B40" s="34" t="s">
        <v>48</v>
      </c>
      <c r="C40" s="61">
        <v>15</v>
      </c>
      <c r="E40" s="30">
        <f aca="true" t="shared" si="7" ref="E40:T40">E37*$C40/4</f>
        <v>19125</v>
      </c>
      <c r="F40" s="30">
        <f t="shared" si="7"/>
        <v>29250</v>
      </c>
      <c r="G40" s="30">
        <f t="shared" si="7"/>
        <v>42750</v>
      </c>
      <c r="H40" s="30">
        <f t="shared" si="7"/>
        <v>49500</v>
      </c>
      <c r="I40" s="30">
        <f t="shared" si="7"/>
        <v>63000</v>
      </c>
      <c r="J40" s="30">
        <f t="shared" si="7"/>
        <v>73125</v>
      </c>
      <c r="K40" s="30">
        <f t="shared" si="7"/>
        <v>81000</v>
      </c>
      <c r="L40" s="30">
        <f t="shared" si="7"/>
        <v>90000</v>
      </c>
      <c r="M40" s="30">
        <f t="shared" si="7"/>
        <v>103500</v>
      </c>
      <c r="N40" s="30">
        <f t="shared" si="7"/>
        <v>113625</v>
      </c>
      <c r="O40" s="30">
        <f t="shared" si="7"/>
        <v>129375</v>
      </c>
      <c r="P40" s="30">
        <f t="shared" si="7"/>
        <v>140625</v>
      </c>
      <c r="Q40" s="30">
        <f t="shared" si="7"/>
        <v>158625</v>
      </c>
      <c r="R40" s="30">
        <f t="shared" si="7"/>
        <v>174375</v>
      </c>
      <c r="S40" s="30">
        <f t="shared" si="7"/>
        <v>196875</v>
      </c>
      <c r="T40" s="30">
        <f t="shared" si="7"/>
        <v>213750</v>
      </c>
    </row>
    <row r="41" spans="2:20" ht="15" customHeight="1">
      <c r="B41" s="34" t="s">
        <v>49</v>
      </c>
      <c r="D41" s="40" t="s">
        <v>97</v>
      </c>
      <c r="E41" s="31">
        <v>50000</v>
      </c>
      <c r="F41" s="31">
        <v>50000</v>
      </c>
      <c r="G41" s="31">
        <v>50000</v>
      </c>
      <c r="H41" s="31">
        <v>50000</v>
      </c>
      <c r="I41" s="31">
        <v>100000</v>
      </c>
      <c r="J41" s="31">
        <v>100000</v>
      </c>
      <c r="K41" s="31">
        <v>100000</v>
      </c>
      <c r="L41" s="31">
        <v>100000</v>
      </c>
      <c r="M41" s="31">
        <v>250000</v>
      </c>
      <c r="N41" s="31">
        <v>250000</v>
      </c>
      <c r="O41" s="31">
        <v>250000</v>
      </c>
      <c r="P41" s="31">
        <v>250000</v>
      </c>
      <c r="Q41" s="31">
        <v>250000</v>
      </c>
      <c r="R41" s="31">
        <v>250000</v>
      </c>
      <c r="S41" s="31">
        <v>250000</v>
      </c>
      <c r="T41" s="31">
        <v>250000</v>
      </c>
    </row>
  </sheetData>
  <sheetProtection/>
  <printOptions gridLines="1" horizontalCentered="1"/>
  <pageMargins left="0.25" right="0.25" top="1" bottom="1" header="0.5" footer="0.5"/>
  <pageSetup horizontalDpi="300" verticalDpi="300" orientation="landscape"/>
  <headerFooter alignWithMargins="0">
    <oddFooter>&amp;L&amp;A&amp;CPage &amp;P</oddFoot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zoomScale="150" zoomScaleNormal="15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H24"/>
    </sheetView>
  </sheetViews>
  <sheetFormatPr defaultColWidth="11.140625" defaultRowHeight="15" customHeight="1"/>
  <cols>
    <col min="1" max="1" width="1.57421875" style="76" customWidth="1"/>
    <col min="2" max="2" width="22.57421875" style="84" bestFit="1" customWidth="1"/>
    <col min="3" max="3" width="18.00390625" style="92" bestFit="1" customWidth="1"/>
    <col min="4" max="4" width="10.8515625" style="93" bestFit="1" customWidth="1"/>
    <col min="5" max="6" width="11.421875" style="93" bestFit="1" customWidth="1"/>
    <col min="7" max="7" width="11.57421875" style="93" bestFit="1" customWidth="1"/>
    <col min="8" max="14" width="11.421875" style="93" bestFit="1" customWidth="1"/>
    <col min="15" max="19" width="11.57421875" style="93" bestFit="1" customWidth="1"/>
    <col min="20" max="16384" width="11.140625" style="93" customWidth="1"/>
  </cols>
  <sheetData>
    <row r="1" spans="1:19" s="6" customFormat="1" ht="15" customHeight="1">
      <c r="A1" s="76" t="s">
        <v>114</v>
      </c>
      <c r="B1" s="21"/>
      <c r="C1" s="7" t="s">
        <v>92</v>
      </c>
      <c r="D1" s="6" t="s">
        <v>119</v>
      </c>
      <c r="E1" s="6" t="s">
        <v>120</v>
      </c>
      <c r="F1" s="6" t="s">
        <v>121</v>
      </c>
      <c r="G1" s="6" t="s">
        <v>122</v>
      </c>
      <c r="H1" s="6" t="s">
        <v>119</v>
      </c>
      <c r="I1" s="6" t="s">
        <v>120</v>
      </c>
      <c r="J1" s="6" t="s">
        <v>121</v>
      </c>
      <c r="K1" s="6" t="s">
        <v>122</v>
      </c>
      <c r="L1" s="6" t="s">
        <v>119</v>
      </c>
      <c r="M1" s="6" t="s">
        <v>120</v>
      </c>
      <c r="N1" s="6" t="s">
        <v>121</v>
      </c>
      <c r="O1" s="6" t="s">
        <v>122</v>
      </c>
      <c r="P1" s="6" t="s">
        <v>119</v>
      </c>
      <c r="Q1" s="6" t="s">
        <v>120</v>
      </c>
      <c r="R1" s="6" t="s">
        <v>121</v>
      </c>
      <c r="S1" s="6" t="s">
        <v>122</v>
      </c>
    </row>
    <row r="2" spans="2:19" s="6" customFormat="1" ht="15" customHeight="1">
      <c r="B2" s="21"/>
      <c r="D2" s="6" t="s">
        <v>79</v>
      </c>
      <c r="E2" s="6" t="s">
        <v>79</v>
      </c>
      <c r="F2" s="6" t="s">
        <v>79</v>
      </c>
      <c r="G2" s="6" t="s">
        <v>79</v>
      </c>
      <c r="H2" s="6" t="s">
        <v>86</v>
      </c>
      <c r="I2" s="6" t="s">
        <v>86</v>
      </c>
      <c r="J2" s="6" t="s">
        <v>86</v>
      </c>
      <c r="K2" s="6" t="s">
        <v>86</v>
      </c>
      <c r="L2" s="6" t="s">
        <v>87</v>
      </c>
      <c r="M2" s="6" t="s">
        <v>87</v>
      </c>
      <c r="N2" s="6" t="s">
        <v>87</v>
      </c>
      <c r="O2" s="6" t="s">
        <v>87</v>
      </c>
      <c r="P2" s="6" t="s">
        <v>88</v>
      </c>
      <c r="Q2" s="6" t="s">
        <v>88</v>
      </c>
      <c r="R2" s="6" t="s">
        <v>88</v>
      </c>
      <c r="S2" s="6" t="s">
        <v>88</v>
      </c>
    </row>
    <row r="3" spans="1:19" s="80" customFormat="1" ht="15" customHeight="1">
      <c r="A3" s="76"/>
      <c r="B3" s="84" t="s">
        <v>77</v>
      </c>
      <c r="C3" s="85"/>
      <c r="D3" s="86">
        <v>0</v>
      </c>
      <c r="E3" s="87">
        <f>D15</f>
        <v>4019712.5</v>
      </c>
      <c r="F3" s="87">
        <f aca="true" t="shared" si="0" ref="F3:S3">E15</f>
        <v>2607275</v>
      </c>
      <c r="G3" s="87">
        <f t="shared" si="0"/>
        <v>923950</v>
      </c>
      <c r="H3" s="87">
        <f t="shared" si="0"/>
        <v>11090650</v>
      </c>
      <c r="I3" s="87">
        <f t="shared" si="0"/>
        <v>8960857.5</v>
      </c>
      <c r="J3" s="87">
        <f t="shared" si="0"/>
        <v>6868503.75</v>
      </c>
      <c r="K3" s="87">
        <f t="shared" si="0"/>
        <v>5332965.3125</v>
      </c>
      <c r="L3" s="87">
        <f t="shared" si="0"/>
        <v>3983908.984375</v>
      </c>
      <c r="M3" s="87">
        <f t="shared" si="0"/>
        <v>2494981.73828125</v>
      </c>
      <c r="N3" s="87">
        <f t="shared" si="0"/>
        <v>915578.1787109375</v>
      </c>
      <c r="O3" s="87">
        <f t="shared" si="0"/>
        <v>319109.8840332031</v>
      </c>
      <c r="P3" s="87">
        <f t="shared" si="0"/>
        <v>1123441.7880249023</v>
      </c>
      <c r="Q3" s="87">
        <f t="shared" si="0"/>
        <v>3157516.3410186768</v>
      </c>
      <c r="R3" s="87">
        <f t="shared" si="0"/>
        <v>4073827.8807640076</v>
      </c>
      <c r="S3" s="87">
        <f t="shared" si="0"/>
        <v>6350156.535573006</v>
      </c>
    </row>
    <row r="4" spans="1:19" s="80" customFormat="1" ht="15" customHeight="1">
      <c r="A4" s="76"/>
      <c r="B4" s="84"/>
      <c r="C4" s="85"/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s="80" customFormat="1" ht="15" customHeight="1">
      <c r="A5" s="76"/>
      <c r="B5" s="77" t="s">
        <v>111</v>
      </c>
      <c r="C5" s="85" t="s">
        <v>84</v>
      </c>
      <c r="D5" s="86">
        <v>5000000</v>
      </c>
      <c r="E5" s="86">
        <v>0</v>
      </c>
      <c r="F5" s="86">
        <v>0</v>
      </c>
      <c r="G5" s="86">
        <v>12000000</v>
      </c>
      <c r="H5" s="86"/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</row>
    <row r="6" spans="1:19" s="80" customFormat="1" ht="15" customHeight="1">
      <c r="A6" s="76"/>
      <c r="B6" s="77"/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s="90" customFormat="1" ht="15" customHeight="1">
      <c r="A7" s="76"/>
      <c r="B7" s="77" t="s">
        <v>50</v>
      </c>
      <c r="C7" s="88" t="s">
        <v>53</v>
      </c>
      <c r="D7" s="89">
        <v>0</v>
      </c>
      <c r="E7" s="89">
        <f>'P &amp; L by Qtr'!E6</f>
        <v>0</v>
      </c>
      <c r="F7" s="89">
        <f>'P &amp; L by Qtr'!F6</f>
        <v>207500</v>
      </c>
      <c r="G7" s="89">
        <f>'P &amp; L by Qtr'!G6</f>
        <v>524375</v>
      </c>
      <c r="H7" s="89">
        <f>'P &amp; L by Qtr'!H6</f>
        <v>1055781.25</v>
      </c>
      <c r="I7" s="89">
        <f>'P &amp; L by Qtr'!I6</f>
        <v>1847085.9375</v>
      </c>
      <c r="J7" s="89">
        <f>'P &amp; L by Qtr'!J6</f>
        <v>2788189.453125</v>
      </c>
      <c r="K7" s="89">
        <f>'P &amp; L by Qtr'!K6</f>
        <v>3744142.08984375</v>
      </c>
      <c r="L7" s="89">
        <f>'P &amp; L by Qtr'!L6</f>
        <v>4711231.5673828125</v>
      </c>
      <c r="M7" s="89">
        <f>'P &amp; L by Qtr'!M6</f>
        <v>5883798.675537109</v>
      </c>
      <c r="N7" s="89">
        <f>'P &amp; L by Qtr'!N6</f>
        <v>8032849.006652832</v>
      </c>
      <c r="O7" s="89">
        <f>'P &amp; L by Qtr'!O6</f>
        <v>10642136.754989624</v>
      </c>
      <c r="P7" s="89">
        <f>'P &amp; L by Qtr'!P6</f>
        <v>13289102.566242218</v>
      </c>
      <c r="Q7" s="89">
        <f>'P &amp; L by Qtr'!Q6</f>
        <v>13578076.924681664</v>
      </c>
      <c r="R7" s="89">
        <f>'P &amp; L by Qtr'!R6</f>
        <v>15691057.693511248</v>
      </c>
      <c r="S7" s="89">
        <f>'P &amp; L by Qtr'!S6</f>
        <v>17407043.270133436</v>
      </c>
    </row>
    <row r="8" spans="1:19" s="90" customFormat="1" ht="15" customHeight="1">
      <c r="A8" s="76"/>
      <c r="B8" s="77"/>
      <c r="C8" s="92" t="s">
        <v>54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</row>
    <row r="9" spans="1:19" s="90" customFormat="1" ht="15" customHeight="1">
      <c r="A9" s="76"/>
      <c r="B9" s="77" t="s">
        <v>51</v>
      </c>
      <c r="C9" s="88" t="s">
        <v>134</v>
      </c>
      <c r="D9" s="89">
        <f>-'P &amp; L by Qtr'!E11</f>
        <v>-159900</v>
      </c>
      <c r="E9" s="89">
        <f>-'P &amp; L by Qtr'!F11</f>
        <v>-191900</v>
      </c>
      <c r="F9" s="89">
        <f>-'P &amp; L by Qtr'!G11</f>
        <v>-228900</v>
      </c>
      <c r="G9" s="89">
        <f>-'P &amp; L by Qtr'!H11</f>
        <v>-344337.5</v>
      </c>
      <c r="H9" s="89">
        <f>-'P &amp; L by Qtr'!I11</f>
        <v>-645736.25</v>
      </c>
      <c r="I9" s="89">
        <f>-'P &amp; L by Qtr'!J11</f>
        <v>-872789.6875</v>
      </c>
      <c r="J9" s="89">
        <f>-'P &amp; L by Qtr'!K11</f>
        <v>-1028102.890625</v>
      </c>
      <c r="K9" s="89">
        <f>-'P &amp; L by Qtr'!L11</f>
        <v>-1216698.41796875</v>
      </c>
      <c r="L9" s="89">
        <f>-'P &amp; L by Qtr'!M11</f>
        <v>-1773533.8134765625</v>
      </c>
      <c r="M9" s="89">
        <f>-'P &amp; L by Qtr'!N11</f>
        <v>-2317402.235107422</v>
      </c>
      <c r="N9" s="89">
        <f>-'P &amp; L by Qtr'!O11</f>
        <v>-2975017.3013305664</v>
      </c>
      <c r="O9" s="89">
        <f>-'P &amp; L by Qtr'!P11</f>
        <v>-3655529.850997925</v>
      </c>
      <c r="P9" s="89">
        <f>-'P &amp; L by Qtr'!Q11</f>
        <v>-4158953.0132484436</v>
      </c>
      <c r="Q9" s="89">
        <f>-'P &amp; L by Qtr'!R11</f>
        <v>-4554765.384936333</v>
      </c>
      <c r="R9" s="89">
        <f>-'P &amp; L by Qtr'!S11</f>
        <v>-4653329.0387022495</v>
      </c>
      <c r="S9" s="89">
        <f>-'P &amp; L by Qtr'!T11</f>
        <v>-5143768.654026687</v>
      </c>
    </row>
    <row r="10" spans="1:19" s="90" customFormat="1" ht="15" customHeight="1">
      <c r="A10" s="76"/>
      <c r="B10" s="77" t="s">
        <v>52</v>
      </c>
      <c r="C10" s="88" t="s">
        <v>134</v>
      </c>
      <c r="D10" s="89">
        <f>-'P &amp; L by Qtr'!E20</f>
        <v>-736387.5</v>
      </c>
      <c r="E10" s="89">
        <f>-'P &amp; L by Qtr'!F20</f>
        <v>-1068537.5</v>
      </c>
      <c r="F10" s="89">
        <f>-'P &amp; L by Qtr'!G20</f>
        <v>-1435925</v>
      </c>
      <c r="G10" s="89">
        <f>-'P &amp; L by Qtr'!H20</f>
        <v>-1725337.5</v>
      </c>
      <c r="H10" s="89">
        <f>-'P &amp; L by Qtr'!I20</f>
        <v>-2227837.5</v>
      </c>
      <c r="I10" s="89">
        <f>-'P &amp; L by Qtr'!J20</f>
        <v>-2736650</v>
      </c>
      <c r="J10" s="89">
        <f>-'P &amp; L by Qtr'!K20</f>
        <v>-2951625</v>
      </c>
      <c r="K10" s="89">
        <f>-'P &amp; L by Qtr'!L20</f>
        <v>-3516500</v>
      </c>
      <c r="L10" s="89">
        <f>-'P &amp; L by Qtr'!M20</f>
        <v>-4042625</v>
      </c>
      <c r="M10" s="89">
        <f>-'P &amp; L by Qtr'!N20</f>
        <v>-4743800</v>
      </c>
      <c r="N10" s="89">
        <f>-'P &amp; L by Qtr'!O20</f>
        <v>-5224300</v>
      </c>
      <c r="O10" s="89">
        <f>-'P &amp; L by Qtr'!P20</f>
        <v>-5732275</v>
      </c>
      <c r="P10" s="89">
        <f>-'P &amp; L by Qtr'!Q20</f>
        <v>-6614075</v>
      </c>
      <c r="Q10" s="89">
        <f>-'P &amp; L by Qtr'!R20</f>
        <v>-7597000</v>
      </c>
      <c r="R10" s="89">
        <f>-'P &amp; L by Qtr'!S20</f>
        <v>-8211400</v>
      </c>
      <c r="S10" s="89">
        <f>-'P &amp; L by Qtr'!T20</f>
        <v>-9401937.5</v>
      </c>
    </row>
    <row r="11" spans="1:19" s="90" customFormat="1" ht="15" customHeight="1">
      <c r="A11" s="76"/>
      <c r="B11" s="77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</row>
    <row r="12" spans="1:19" s="90" customFormat="1" ht="15" customHeight="1">
      <c r="A12" s="76"/>
      <c r="B12" s="77" t="s">
        <v>112</v>
      </c>
      <c r="C12" s="88" t="s">
        <v>135</v>
      </c>
      <c r="D12" s="91">
        <f>-D22</f>
        <v>-84000</v>
      </c>
      <c r="E12" s="91">
        <f aca="true" t="shared" si="1" ref="E12:S12">-E22</f>
        <v>-152000</v>
      </c>
      <c r="F12" s="91">
        <f t="shared" si="1"/>
        <v>-226000</v>
      </c>
      <c r="G12" s="91">
        <f t="shared" si="1"/>
        <v>-288000</v>
      </c>
      <c r="H12" s="91">
        <f t="shared" si="1"/>
        <v>-312000</v>
      </c>
      <c r="I12" s="91">
        <f t="shared" si="1"/>
        <v>-330000</v>
      </c>
      <c r="J12" s="91">
        <f t="shared" si="1"/>
        <v>-344000</v>
      </c>
      <c r="K12" s="91">
        <f t="shared" si="1"/>
        <v>-360000</v>
      </c>
      <c r="L12" s="91">
        <f t="shared" si="1"/>
        <v>-384000</v>
      </c>
      <c r="M12" s="91">
        <f t="shared" si="1"/>
        <v>-402000</v>
      </c>
      <c r="N12" s="91">
        <f t="shared" si="1"/>
        <v>-430000</v>
      </c>
      <c r="O12" s="91">
        <f t="shared" si="1"/>
        <v>-450000</v>
      </c>
      <c r="P12" s="91">
        <f t="shared" si="1"/>
        <v>-482000</v>
      </c>
      <c r="Q12" s="91">
        <f t="shared" si="1"/>
        <v>-510000</v>
      </c>
      <c r="R12" s="91">
        <f t="shared" si="1"/>
        <v>-550000</v>
      </c>
      <c r="S12" s="91">
        <f t="shared" si="1"/>
        <v>-580000</v>
      </c>
    </row>
    <row r="13" spans="1:19" s="80" customFormat="1" ht="15" customHeight="1">
      <c r="A13" s="76"/>
      <c r="B13" s="77" t="s">
        <v>113</v>
      </c>
      <c r="C13" s="85"/>
      <c r="D13" s="87">
        <f>SUM(D5:D12)</f>
        <v>4019712.5</v>
      </c>
      <c r="E13" s="87">
        <f aca="true" t="shared" si="2" ref="E13:S13">SUM(E5:E12)</f>
        <v>-1412437.5</v>
      </c>
      <c r="F13" s="87">
        <f t="shared" si="2"/>
        <v>-1683325</v>
      </c>
      <c r="G13" s="87">
        <f t="shared" si="2"/>
        <v>10166700</v>
      </c>
      <c r="H13" s="87">
        <f t="shared" si="2"/>
        <v>-2129792.5</v>
      </c>
      <c r="I13" s="87">
        <f t="shared" si="2"/>
        <v>-2092353.75</v>
      </c>
      <c r="J13" s="87">
        <f t="shared" si="2"/>
        <v>-1535538.4375</v>
      </c>
      <c r="K13" s="87">
        <f t="shared" si="2"/>
        <v>-1349056.328125</v>
      </c>
      <c r="L13" s="87">
        <f t="shared" si="2"/>
        <v>-1488927.24609375</v>
      </c>
      <c r="M13" s="87">
        <f t="shared" si="2"/>
        <v>-1579403.5595703125</v>
      </c>
      <c r="N13" s="87">
        <f t="shared" si="2"/>
        <v>-596468.2946777344</v>
      </c>
      <c r="O13" s="87">
        <f t="shared" si="2"/>
        <v>804331.9039916992</v>
      </c>
      <c r="P13" s="87">
        <f t="shared" si="2"/>
        <v>2034074.5529937744</v>
      </c>
      <c r="Q13" s="87">
        <f t="shared" si="2"/>
        <v>916311.5397453308</v>
      </c>
      <c r="R13" s="87">
        <f t="shared" si="2"/>
        <v>2276328.654808998</v>
      </c>
      <c r="S13" s="87">
        <f t="shared" si="2"/>
        <v>2281337.1161067486</v>
      </c>
    </row>
    <row r="14" spans="1:19" s="80" customFormat="1" ht="15" customHeight="1">
      <c r="A14" s="76"/>
      <c r="B14" s="77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19" ht="15" customHeight="1">
      <c r="B15" s="77" t="s">
        <v>78</v>
      </c>
      <c r="D15" s="62">
        <f aca="true" t="shared" si="3" ref="D15:S15">D3+D13</f>
        <v>4019712.5</v>
      </c>
      <c r="E15" s="62">
        <f t="shared" si="3"/>
        <v>2607275</v>
      </c>
      <c r="F15" s="62">
        <f t="shared" si="3"/>
        <v>923950</v>
      </c>
      <c r="G15" s="62">
        <f t="shared" si="3"/>
        <v>11090650</v>
      </c>
      <c r="H15" s="62">
        <f t="shared" si="3"/>
        <v>8960857.5</v>
      </c>
      <c r="I15" s="62">
        <f t="shared" si="3"/>
        <v>6868503.75</v>
      </c>
      <c r="J15" s="62">
        <f t="shared" si="3"/>
        <v>5332965.3125</v>
      </c>
      <c r="K15" s="62">
        <f t="shared" si="3"/>
        <v>3983908.984375</v>
      </c>
      <c r="L15" s="62">
        <f t="shared" si="3"/>
        <v>2494981.73828125</v>
      </c>
      <c r="M15" s="62">
        <f t="shared" si="3"/>
        <v>915578.1787109375</v>
      </c>
      <c r="N15" s="62">
        <f t="shared" si="3"/>
        <v>319109.8840332031</v>
      </c>
      <c r="O15" s="62">
        <f t="shared" si="3"/>
        <v>1123441.7880249023</v>
      </c>
      <c r="P15" s="62">
        <f t="shared" si="3"/>
        <v>3157516.3410186768</v>
      </c>
      <c r="Q15" s="62">
        <f t="shared" si="3"/>
        <v>4073827.8807640076</v>
      </c>
      <c r="R15" s="62">
        <f t="shared" si="3"/>
        <v>6350156.535573006</v>
      </c>
      <c r="S15" s="62">
        <f t="shared" si="3"/>
        <v>8631493.651679754</v>
      </c>
    </row>
    <row r="17" spans="1:19" s="6" customFormat="1" ht="15" customHeight="1">
      <c r="A17" s="76" t="s">
        <v>131</v>
      </c>
      <c r="B17" s="21"/>
      <c r="C17" s="7"/>
      <c r="D17" s="6" t="s">
        <v>119</v>
      </c>
      <c r="E17" s="6" t="s">
        <v>120</v>
      </c>
      <c r="F17" s="6" t="s">
        <v>121</v>
      </c>
      <c r="G17" s="6" t="s">
        <v>122</v>
      </c>
      <c r="H17" s="6" t="s">
        <v>119</v>
      </c>
      <c r="I17" s="6" t="s">
        <v>120</v>
      </c>
      <c r="J17" s="6" t="s">
        <v>121</v>
      </c>
      <c r="K17" s="6" t="s">
        <v>122</v>
      </c>
      <c r="L17" s="6" t="s">
        <v>119</v>
      </c>
      <c r="M17" s="6" t="s">
        <v>120</v>
      </c>
      <c r="N17" s="6" t="s">
        <v>121</v>
      </c>
      <c r="O17" s="6" t="s">
        <v>122</v>
      </c>
      <c r="P17" s="6" t="s">
        <v>119</v>
      </c>
      <c r="Q17" s="6" t="s">
        <v>120</v>
      </c>
      <c r="R17" s="6" t="s">
        <v>121</v>
      </c>
      <c r="S17" s="6" t="s">
        <v>122</v>
      </c>
    </row>
    <row r="18" spans="2:19" s="6" customFormat="1" ht="15" customHeight="1">
      <c r="B18" s="21"/>
      <c r="D18" s="6" t="s">
        <v>79</v>
      </c>
      <c r="E18" s="6" t="s">
        <v>79</v>
      </c>
      <c r="F18" s="6" t="s">
        <v>79</v>
      </c>
      <c r="G18" s="6" t="s">
        <v>79</v>
      </c>
      <c r="H18" s="6" t="s">
        <v>79</v>
      </c>
      <c r="I18" s="6" t="s">
        <v>79</v>
      </c>
      <c r="J18" s="6" t="s">
        <v>79</v>
      </c>
      <c r="K18" s="6" t="s">
        <v>79</v>
      </c>
      <c r="L18" s="6" t="s">
        <v>79</v>
      </c>
      <c r="M18" s="6" t="s">
        <v>79</v>
      </c>
      <c r="N18" s="6" t="s">
        <v>79</v>
      </c>
      <c r="O18" s="6" t="s">
        <v>79</v>
      </c>
      <c r="P18" s="6" t="s">
        <v>86</v>
      </c>
      <c r="Q18" s="6" t="s">
        <v>86</v>
      </c>
      <c r="R18" s="6" t="s">
        <v>86</v>
      </c>
      <c r="S18" s="6" t="s">
        <v>86</v>
      </c>
    </row>
    <row r="19" ht="6.75" customHeight="1"/>
    <row r="20" spans="1:19" s="80" customFormat="1" ht="15" customHeight="1">
      <c r="A20" s="76"/>
      <c r="B20" s="84" t="s">
        <v>132</v>
      </c>
      <c r="C20" s="85">
        <v>2000</v>
      </c>
      <c r="D20" s="86">
        <f>'Staffing Plan'!E36*' Capex and Cash Flow'!$C20</f>
        <v>34000</v>
      </c>
      <c r="E20" s="86">
        <f>'Staffing Plan'!F36*' Capex and Cash Flow'!$C20</f>
        <v>52000</v>
      </c>
      <c r="F20" s="86">
        <f>'Staffing Plan'!G36*' Capex and Cash Flow'!$C20</f>
        <v>76000</v>
      </c>
      <c r="G20" s="86">
        <f>'Staffing Plan'!H36*' Capex and Cash Flow'!$C20</f>
        <v>88000</v>
      </c>
      <c r="H20" s="86">
        <f>'Staffing Plan'!I36*' Capex and Cash Flow'!$C20</f>
        <v>112000</v>
      </c>
      <c r="I20" s="86">
        <f>'Staffing Plan'!J36*' Capex and Cash Flow'!$C20</f>
        <v>130000</v>
      </c>
      <c r="J20" s="86">
        <f>'Staffing Plan'!K36*' Capex and Cash Flow'!$C20</f>
        <v>144000</v>
      </c>
      <c r="K20" s="86">
        <f>'Staffing Plan'!L36*' Capex and Cash Flow'!$C20</f>
        <v>160000</v>
      </c>
      <c r="L20" s="86">
        <f>'Staffing Plan'!M36*' Capex and Cash Flow'!$C20</f>
        <v>184000</v>
      </c>
      <c r="M20" s="86">
        <f>'Staffing Plan'!N36*' Capex and Cash Flow'!$C20</f>
        <v>202000</v>
      </c>
      <c r="N20" s="86">
        <f>'Staffing Plan'!O36*' Capex and Cash Flow'!$C20</f>
        <v>230000</v>
      </c>
      <c r="O20" s="86">
        <f>'Staffing Plan'!P36*' Capex and Cash Flow'!$C20</f>
        <v>250000</v>
      </c>
      <c r="P20" s="86">
        <f>'Staffing Plan'!Q36*' Capex and Cash Flow'!$C20</f>
        <v>282000</v>
      </c>
      <c r="Q20" s="86">
        <f>'Staffing Plan'!R36*' Capex and Cash Flow'!$C20</f>
        <v>310000</v>
      </c>
      <c r="R20" s="86">
        <f>'Staffing Plan'!S36*' Capex and Cash Flow'!$C20</f>
        <v>350000</v>
      </c>
      <c r="S20" s="86">
        <f>'Staffing Plan'!T36*' Capex and Cash Flow'!$C20</f>
        <v>380000</v>
      </c>
    </row>
    <row r="21" spans="1:19" s="80" customFormat="1" ht="15" customHeight="1">
      <c r="A21" s="76"/>
      <c r="B21" s="84" t="s">
        <v>133</v>
      </c>
      <c r="C21" s="85" t="s">
        <v>84</v>
      </c>
      <c r="D21" s="79">
        <v>50000</v>
      </c>
      <c r="E21" s="79">
        <v>100000</v>
      </c>
      <c r="F21" s="79">
        <v>150000</v>
      </c>
      <c r="G21" s="79">
        <v>200000</v>
      </c>
      <c r="H21" s="79">
        <v>200000</v>
      </c>
      <c r="I21" s="79">
        <v>200000</v>
      </c>
      <c r="J21" s="79">
        <v>200000</v>
      </c>
      <c r="K21" s="79">
        <v>200000</v>
      </c>
      <c r="L21" s="79">
        <v>200000</v>
      </c>
      <c r="M21" s="79">
        <v>200000</v>
      </c>
      <c r="N21" s="79">
        <v>200000</v>
      </c>
      <c r="O21" s="79">
        <v>200000</v>
      </c>
      <c r="P21" s="79">
        <v>200000</v>
      </c>
      <c r="Q21" s="79">
        <v>200000</v>
      </c>
      <c r="R21" s="79">
        <v>200000</v>
      </c>
      <c r="S21" s="79">
        <v>200000</v>
      </c>
    </row>
    <row r="22" spans="4:19" ht="15" customHeight="1">
      <c r="D22" s="94">
        <f>SUM(D20:D21)</f>
        <v>84000</v>
      </c>
      <c r="E22" s="94">
        <f aca="true" t="shared" si="4" ref="E22:S22">SUM(E20:E21)</f>
        <v>152000</v>
      </c>
      <c r="F22" s="94">
        <f t="shared" si="4"/>
        <v>226000</v>
      </c>
      <c r="G22" s="94">
        <f t="shared" si="4"/>
        <v>288000</v>
      </c>
      <c r="H22" s="94">
        <f t="shared" si="4"/>
        <v>312000</v>
      </c>
      <c r="I22" s="94">
        <f t="shared" si="4"/>
        <v>330000</v>
      </c>
      <c r="J22" s="94">
        <f t="shared" si="4"/>
        <v>344000</v>
      </c>
      <c r="K22" s="94">
        <f t="shared" si="4"/>
        <v>360000</v>
      </c>
      <c r="L22" s="94">
        <f t="shared" si="4"/>
        <v>384000</v>
      </c>
      <c r="M22" s="94">
        <f t="shared" si="4"/>
        <v>402000</v>
      </c>
      <c r="N22" s="94">
        <f t="shared" si="4"/>
        <v>430000</v>
      </c>
      <c r="O22" s="94">
        <f t="shared" si="4"/>
        <v>450000</v>
      </c>
      <c r="P22" s="94">
        <f t="shared" si="4"/>
        <v>482000</v>
      </c>
      <c r="Q22" s="94">
        <f t="shared" si="4"/>
        <v>510000</v>
      </c>
      <c r="R22" s="94">
        <f t="shared" si="4"/>
        <v>550000</v>
      </c>
      <c r="S22" s="94">
        <f t="shared" si="4"/>
        <v>580000</v>
      </c>
    </row>
    <row r="23" spans="4:19" ht="15" customHeight="1"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2:19" ht="15" customHeight="1">
      <c r="B24" s="84" t="s">
        <v>136</v>
      </c>
      <c r="D24" s="62">
        <f>D22</f>
        <v>84000</v>
      </c>
      <c r="E24" s="62">
        <f>E22+D24</f>
        <v>236000</v>
      </c>
      <c r="F24" s="62">
        <f aca="true" t="shared" si="5" ref="F24:S24">F22+E24</f>
        <v>462000</v>
      </c>
      <c r="G24" s="62">
        <f t="shared" si="5"/>
        <v>750000</v>
      </c>
      <c r="H24" s="62">
        <f t="shared" si="5"/>
        <v>1062000</v>
      </c>
      <c r="I24" s="62">
        <f t="shared" si="5"/>
        <v>1392000</v>
      </c>
      <c r="J24" s="62">
        <f t="shared" si="5"/>
        <v>1736000</v>
      </c>
      <c r="K24" s="62">
        <f t="shared" si="5"/>
        <v>2096000</v>
      </c>
      <c r="L24" s="62">
        <f t="shared" si="5"/>
        <v>2480000</v>
      </c>
      <c r="M24" s="62">
        <f t="shared" si="5"/>
        <v>2882000</v>
      </c>
      <c r="N24" s="62">
        <f t="shared" si="5"/>
        <v>3312000</v>
      </c>
      <c r="O24" s="62">
        <f t="shared" si="5"/>
        <v>3762000</v>
      </c>
      <c r="P24" s="62">
        <f t="shared" si="5"/>
        <v>4244000</v>
      </c>
      <c r="Q24" s="62">
        <f t="shared" si="5"/>
        <v>4754000</v>
      </c>
      <c r="R24" s="62">
        <f t="shared" si="5"/>
        <v>5304000</v>
      </c>
      <c r="S24" s="62">
        <f t="shared" si="5"/>
        <v>5884000</v>
      </c>
    </row>
  </sheetData>
  <sheetProtection/>
  <printOptions gridLines="1" horizontalCentered="1"/>
  <pageMargins left="0.25" right="0.25" top="0.82" bottom="1" header="0.5" footer="0.5"/>
  <pageSetup horizontalDpi="300" verticalDpi="300" orientation="landscape"/>
  <headerFooter alignWithMargins="0">
    <oddFooter>&amp;L&amp;A&amp;CPage 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Tillett</dc:creator>
  <cp:keywords/>
  <dc:description/>
  <cp:lastModifiedBy>Tod Hynes</cp:lastModifiedBy>
  <cp:lastPrinted>2003-01-13T13:20:49Z</cp:lastPrinted>
  <dcterms:created xsi:type="dcterms:W3CDTF">1997-01-15T21:35:29Z</dcterms:created>
  <dcterms:modified xsi:type="dcterms:W3CDTF">2014-10-23T23:28:47Z</dcterms:modified>
  <cp:category/>
  <cp:version/>
  <cp:contentType/>
  <cp:contentStatus/>
</cp:coreProperties>
</file>